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J:\USUARIOS\PROYECTO\RESULTADOS DE PROYECTOS\1_Resultados Proyectos DGP\2024\LM019\"/>
    </mc:Choice>
  </mc:AlternateContent>
  <bookViews>
    <workbookView xWindow="0" yWindow="0" windowWidth="23040" windowHeight="8010" tabRatio="493" activeTab="1"/>
  </bookViews>
  <sheets>
    <sheet name="Resumen_estructural" sheetId="1" r:id="rId1"/>
    <sheet name="Forma de citar" sheetId="2" r:id="rId2"/>
  </sheets>
  <definedNames>
    <definedName name="_xlnm._FilterDatabase" localSheetId="0" hidden="1">Resumen_estructural!$A$2:$AC$56</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X51" i="1" l="1"/>
  <c r="X47" i="1"/>
  <c r="X43" i="1"/>
  <c r="X37" i="1"/>
  <c r="X30" i="1"/>
  <c r="X25" i="1"/>
  <c r="X21" i="1"/>
  <c r="X17" i="1"/>
  <c r="X13" i="1"/>
  <c r="X9" i="1"/>
  <c r="T24" i="1" l="1"/>
  <c r="T26" i="1"/>
  <c r="Z56" i="1"/>
  <c r="Z43" i="1"/>
  <c r="Z45" i="1"/>
  <c r="Z44" i="1"/>
  <c r="Z48" i="1"/>
  <c r="Z47" i="1"/>
  <c r="Z53" i="1"/>
  <c r="X53" i="1"/>
  <c r="X52" i="1"/>
  <c r="P54" i="1"/>
  <c r="Q54" i="1" s="1"/>
  <c r="U53" i="1"/>
  <c r="U52" i="1"/>
  <c r="U51" i="1"/>
  <c r="T53" i="1"/>
  <c r="T52" i="1"/>
  <c r="T51" i="1"/>
  <c r="S53" i="1"/>
  <c r="R53" i="1"/>
  <c r="P53" i="1"/>
  <c r="Q53" i="1" s="1"/>
  <c r="S52" i="1"/>
  <c r="R52" i="1"/>
  <c r="P52" i="1"/>
  <c r="Q52" i="1" s="1"/>
  <c r="S51" i="1"/>
  <c r="R51" i="1"/>
  <c r="P51" i="1"/>
  <c r="Q51" i="1" s="1"/>
  <c r="X48" i="1"/>
  <c r="U48" i="1"/>
  <c r="U47" i="1"/>
  <c r="T48" i="1"/>
  <c r="T47" i="1"/>
  <c r="S48" i="1"/>
  <c r="R48" i="1"/>
  <c r="P48" i="1"/>
  <c r="S47" i="1"/>
  <c r="R47" i="1"/>
  <c r="P47" i="1"/>
  <c r="Q47" i="1" s="1"/>
  <c r="AB45" i="1"/>
  <c r="AA45" i="1"/>
  <c r="X45" i="1"/>
  <c r="X44" i="1"/>
  <c r="U45" i="1"/>
  <c r="U44" i="1"/>
  <c r="U43" i="1"/>
  <c r="T45" i="1"/>
  <c r="T44" i="1"/>
  <c r="T43" i="1"/>
  <c r="S45" i="1"/>
  <c r="R45" i="1"/>
  <c r="P45" i="1"/>
  <c r="Q45" i="1" s="1"/>
  <c r="S44" i="1"/>
  <c r="R44" i="1"/>
  <c r="P44" i="1"/>
  <c r="Q44" i="1" s="1"/>
  <c r="S43" i="1"/>
  <c r="R43" i="1"/>
  <c r="P43" i="1"/>
  <c r="Q43" i="1" s="1"/>
  <c r="Z39" i="1"/>
  <c r="Z38" i="1"/>
  <c r="Z37" i="1"/>
  <c r="X39" i="1"/>
  <c r="X38" i="1"/>
  <c r="U39" i="1"/>
  <c r="U38" i="1"/>
  <c r="U37" i="1"/>
  <c r="T39" i="1"/>
  <c r="T38" i="1"/>
  <c r="T37" i="1"/>
  <c r="S39" i="1"/>
  <c r="R39" i="1"/>
  <c r="P39" i="1"/>
  <c r="Q39" i="1" s="1"/>
  <c r="S38" i="1"/>
  <c r="R38" i="1"/>
  <c r="P38" i="1"/>
  <c r="Q38" i="1" s="1"/>
  <c r="S37" i="1"/>
  <c r="R37" i="1"/>
  <c r="P37" i="1"/>
  <c r="Q37" i="1" s="1"/>
  <c r="Z33" i="1"/>
  <c r="Z31" i="1"/>
  <c r="Z32" i="1"/>
  <c r="Z30" i="1"/>
  <c r="U33" i="1"/>
  <c r="U32" i="1"/>
  <c r="U34" i="1"/>
  <c r="U31" i="1"/>
  <c r="U30" i="1"/>
  <c r="T33" i="1"/>
  <c r="T32" i="1"/>
  <c r="T31" i="1"/>
  <c r="T30" i="1"/>
  <c r="S33" i="1"/>
  <c r="R33" i="1"/>
  <c r="S32" i="1"/>
  <c r="R32" i="1"/>
  <c r="S31" i="1"/>
  <c r="R31" i="1"/>
  <c r="P33" i="1"/>
  <c r="Q33" i="1" s="1"/>
  <c r="P32" i="1"/>
  <c r="Q32" i="1" s="1"/>
  <c r="P31" i="1"/>
  <c r="Q31" i="1" s="1"/>
  <c r="S30" i="1"/>
  <c r="R30" i="1"/>
  <c r="P30" i="1"/>
  <c r="Q30" i="1" s="1"/>
  <c r="Z25" i="1"/>
  <c r="X26" i="1"/>
  <c r="R27" i="1"/>
  <c r="P25" i="1"/>
  <c r="Q25" i="1" s="1"/>
  <c r="U26" i="1"/>
  <c r="U25" i="1"/>
  <c r="T25" i="1"/>
  <c r="S26" i="1"/>
  <c r="R26" i="1"/>
  <c r="P26" i="1"/>
  <c r="Q26" i="1" s="1"/>
  <c r="S25" i="1"/>
  <c r="R25" i="1"/>
  <c r="V48" i="1" l="1"/>
  <c r="W48" i="1" s="1"/>
  <c r="V39" i="1"/>
  <c r="W39" i="1" s="1"/>
  <c r="V33" i="1"/>
  <c r="W33" i="1" s="1"/>
  <c r="V43" i="1"/>
  <c r="W43" i="1" s="1"/>
  <c r="V44" i="1"/>
  <c r="V31" i="1"/>
  <c r="W31" i="1" s="1"/>
  <c r="W32" i="1"/>
  <c r="V45" i="1"/>
  <c r="W45" i="1" s="1"/>
  <c r="W44" i="1"/>
  <c r="V32" i="1"/>
  <c r="Q48" i="1"/>
  <c r="V47" i="1"/>
  <c r="W47" i="1" s="1"/>
  <c r="V52" i="1"/>
  <c r="W52" i="1" s="1"/>
  <c r="V30" i="1"/>
  <c r="W30" i="1" s="1"/>
  <c r="V37" i="1"/>
  <c r="W37" i="1" s="1"/>
  <c r="V53" i="1"/>
  <c r="W53" i="1" s="1"/>
  <c r="V38" i="1"/>
  <c r="W38" i="1" s="1"/>
  <c r="V51" i="1"/>
  <c r="W51" i="1" s="1"/>
  <c r="V26" i="1"/>
  <c r="W26" i="1" s="1"/>
  <c r="V25" i="1"/>
  <c r="W25" i="1" s="1"/>
  <c r="Z22" i="1" l="1"/>
  <c r="Z21" i="1"/>
  <c r="X22" i="1"/>
  <c r="U22" i="1"/>
  <c r="U21" i="1"/>
  <c r="T22" i="1"/>
  <c r="S22" i="1"/>
  <c r="R22" i="1"/>
  <c r="P22" i="1"/>
  <c r="Q22" i="1" s="1"/>
  <c r="S21" i="1"/>
  <c r="T21" i="1" s="1"/>
  <c r="R21" i="1"/>
  <c r="P21" i="1"/>
  <c r="Q21" i="1" s="1"/>
  <c r="AB18" i="1"/>
  <c r="AA18" i="1"/>
  <c r="Z17" i="1"/>
  <c r="Z18" i="1"/>
  <c r="Z16" i="1"/>
  <c r="X18" i="1"/>
  <c r="U18" i="1"/>
  <c r="U17" i="1"/>
  <c r="S18" i="1"/>
  <c r="T18" i="1" s="1"/>
  <c r="R18" i="1"/>
  <c r="P18" i="1"/>
  <c r="S17" i="1"/>
  <c r="T17" i="1" s="1"/>
  <c r="R17" i="1"/>
  <c r="P17" i="1"/>
  <c r="Q17" i="1" s="1"/>
  <c r="Z14" i="1"/>
  <c r="Z13" i="1"/>
  <c r="Y13" i="1"/>
  <c r="AB9" i="1"/>
  <c r="AA9" i="1"/>
  <c r="Z9" i="1"/>
  <c r="Y9" i="1"/>
  <c r="U14" i="1"/>
  <c r="U13" i="1"/>
  <c r="T14" i="1"/>
  <c r="S14" i="1"/>
  <c r="R14" i="1"/>
  <c r="P14" i="1"/>
  <c r="Q14" i="1" s="1"/>
  <c r="S13" i="1"/>
  <c r="T13" i="1" s="1"/>
  <c r="R13" i="1"/>
  <c r="P13" i="1"/>
  <c r="Q13" i="1" s="1"/>
  <c r="U10" i="1"/>
  <c r="U9" i="1"/>
  <c r="T10" i="1"/>
  <c r="S10" i="1"/>
  <c r="R10" i="1"/>
  <c r="P10" i="1"/>
  <c r="Q10" i="1" s="1"/>
  <c r="S9" i="1"/>
  <c r="T9" i="1" s="1"/>
  <c r="R9" i="1"/>
  <c r="P9" i="1"/>
  <c r="Q9" i="1" s="1"/>
  <c r="Z5" i="1"/>
  <c r="X5" i="1"/>
  <c r="V18" i="1" l="1"/>
  <c r="W18" i="1" s="1"/>
  <c r="V14" i="1"/>
  <c r="W14" i="1" s="1"/>
  <c r="V9" i="1"/>
  <c r="W9" i="1" s="1"/>
  <c r="V13" i="1"/>
  <c r="W13" i="1" s="1"/>
  <c r="Q18" i="1"/>
  <c r="V21" i="1"/>
  <c r="W21" i="1" s="1"/>
  <c r="V10" i="1"/>
  <c r="W10" i="1" s="1"/>
  <c r="V22" i="1"/>
  <c r="W22" i="1" s="1"/>
  <c r="V17" i="1"/>
  <c r="W17" i="1" s="1"/>
  <c r="X3" i="1"/>
  <c r="U6" i="1"/>
  <c r="U5" i="1"/>
  <c r="S6" i="1"/>
  <c r="T6" i="1" s="1"/>
  <c r="R6" i="1"/>
  <c r="Q6" i="1"/>
  <c r="S5" i="1" l="1"/>
  <c r="T5" i="1" s="1"/>
  <c r="R5" i="1"/>
  <c r="P5" i="1"/>
  <c r="Q5" i="1" s="1"/>
  <c r="V6" i="1" l="1"/>
  <c r="W6" i="1" s="1"/>
  <c r="V5" i="1"/>
  <c r="W5" i="1" s="1"/>
  <c r="X54" i="1"/>
  <c r="X49" i="1"/>
  <c r="X46" i="1"/>
  <c r="X40" i="1"/>
  <c r="X34" i="1"/>
  <c r="X27" i="1"/>
  <c r="X23" i="1"/>
  <c r="X19" i="1"/>
  <c r="X15" i="1"/>
  <c r="X11" i="1"/>
  <c r="X7" i="1"/>
  <c r="X4" i="1"/>
  <c r="X55" i="1"/>
  <c r="X50" i="1"/>
  <c r="X42" i="1"/>
  <c r="X41" i="1"/>
  <c r="X36" i="1"/>
  <c r="X35" i="1"/>
  <c r="X29" i="1"/>
  <c r="X28" i="1"/>
  <c r="X24" i="1"/>
  <c r="X20" i="1"/>
  <c r="X16" i="1"/>
  <c r="X12" i="1"/>
  <c r="X8" i="1"/>
  <c r="P29" i="1" l="1"/>
  <c r="Q29" i="1" s="1"/>
  <c r="P50" i="1"/>
  <c r="Q50" i="1" s="1"/>
  <c r="U3" i="1"/>
  <c r="R3" i="1"/>
  <c r="P23" i="1" l="1"/>
  <c r="P4" i="1"/>
  <c r="P7" i="1"/>
  <c r="P8" i="1"/>
  <c r="Q8" i="1" s="1"/>
  <c r="P11" i="1"/>
  <c r="P12" i="1"/>
  <c r="P15" i="1"/>
  <c r="P16" i="1"/>
  <c r="P19" i="1"/>
  <c r="Q19" i="1" s="1"/>
  <c r="P20" i="1"/>
  <c r="P24" i="1"/>
  <c r="P27" i="1"/>
  <c r="Q27" i="1" s="1"/>
  <c r="P28" i="1"/>
  <c r="Q28" i="1" s="1"/>
  <c r="P34" i="1"/>
  <c r="Q34" i="1" s="1"/>
  <c r="P35" i="1"/>
  <c r="Q35" i="1" s="1"/>
  <c r="P36" i="1"/>
  <c r="Q36" i="1" s="1"/>
  <c r="P40" i="1"/>
  <c r="P41" i="1"/>
  <c r="P42" i="1"/>
  <c r="P46" i="1"/>
  <c r="P49" i="1"/>
  <c r="Q49" i="1" s="1"/>
  <c r="P55" i="1"/>
  <c r="Q55" i="1" s="1"/>
  <c r="P3" i="1"/>
  <c r="V3" i="1" l="1"/>
  <c r="Q4" i="1"/>
  <c r="V4" i="1"/>
  <c r="V19" i="1"/>
  <c r="Q3" i="1"/>
  <c r="U19" i="1"/>
  <c r="Q24" i="1" l="1"/>
  <c r="Y3" i="1" l="1"/>
  <c r="Q15" i="1"/>
  <c r="Q23" i="1"/>
  <c r="Q40" i="1"/>
  <c r="Q46" i="1"/>
  <c r="Q42" i="1"/>
  <c r="Q41" i="1"/>
  <c r="Q20" i="1"/>
  <c r="Q16" i="1"/>
  <c r="Q12" i="1"/>
  <c r="Q11" i="1"/>
  <c r="Q7" i="1"/>
  <c r="V11" i="1" l="1"/>
  <c r="V23" i="1" l="1"/>
  <c r="V7" i="1"/>
  <c r="V8" i="1"/>
  <c r="U8" i="1"/>
  <c r="U7" i="1"/>
  <c r="S7" i="1"/>
  <c r="R7" i="1"/>
  <c r="T7" i="1" l="1"/>
  <c r="W7" i="1" s="1"/>
  <c r="AA3" i="1"/>
  <c r="AA28" i="1" l="1"/>
  <c r="AA16" i="1"/>
  <c r="AB16" i="1" s="1"/>
  <c r="Z15" i="1"/>
  <c r="V16" i="1"/>
  <c r="V15" i="1"/>
  <c r="U16" i="1"/>
  <c r="U15" i="1"/>
  <c r="S16" i="1"/>
  <c r="R16" i="1"/>
  <c r="S15" i="1"/>
  <c r="R15" i="1"/>
  <c r="AA12" i="1"/>
  <c r="AB12" i="1" s="1"/>
  <c r="Z11" i="1"/>
  <c r="Y12" i="1"/>
  <c r="Y11" i="1"/>
  <c r="V12" i="1"/>
  <c r="U12" i="1"/>
  <c r="U11" i="1"/>
  <c r="S12" i="1"/>
  <c r="R12" i="1"/>
  <c r="S11" i="1"/>
  <c r="R11" i="1"/>
  <c r="AA7" i="1"/>
  <c r="AB7" i="1" s="1"/>
  <c r="Z7" i="1"/>
  <c r="Y7" i="1"/>
  <c r="S8" i="1"/>
  <c r="R8" i="1"/>
  <c r="AB3" i="1"/>
  <c r="AA4" i="1"/>
  <c r="AB4" i="1" s="1"/>
  <c r="Z3" i="1"/>
  <c r="U4" i="1"/>
  <c r="S4" i="1"/>
  <c r="R4" i="1"/>
  <c r="S3" i="1"/>
  <c r="T4" i="1" l="1"/>
  <c r="W4" i="1" s="1"/>
  <c r="T3" i="1"/>
  <c r="W3" i="1" s="1"/>
  <c r="T12" i="1"/>
  <c r="W12" i="1" s="1"/>
  <c r="T15" i="1"/>
  <c r="W15" i="1" s="1"/>
  <c r="T8" i="1"/>
  <c r="W8" i="1" s="1"/>
  <c r="T16" i="1"/>
  <c r="W16" i="1" s="1"/>
  <c r="T11" i="1"/>
  <c r="W11" i="1" s="1"/>
  <c r="V50" i="1" l="1"/>
  <c r="AA35" i="1" l="1"/>
  <c r="AA34" i="1"/>
  <c r="V40" i="1"/>
  <c r="V36" i="1"/>
  <c r="V35" i="1"/>
  <c r="V34" i="1"/>
  <c r="Z46" i="1"/>
  <c r="Y46" i="1"/>
  <c r="V46" i="1"/>
  <c r="U46" i="1"/>
  <c r="S46" i="1"/>
  <c r="R46" i="1"/>
  <c r="AA42" i="1"/>
  <c r="AB42" i="1" s="1"/>
  <c r="AB40" i="1"/>
  <c r="Z40" i="1"/>
  <c r="V42" i="1"/>
  <c r="V41" i="1"/>
  <c r="V27" i="1"/>
  <c r="U42" i="1"/>
  <c r="U41" i="1"/>
  <c r="U40" i="1"/>
  <c r="S42" i="1"/>
  <c r="S41" i="1"/>
  <c r="S40" i="1"/>
  <c r="R42" i="1"/>
  <c r="R41" i="1"/>
  <c r="R40" i="1"/>
  <c r="Z24" i="1"/>
  <c r="Z23" i="1"/>
  <c r="Y23" i="1"/>
  <c r="V24" i="1"/>
  <c r="U24" i="1"/>
  <c r="U23" i="1"/>
  <c r="S24" i="1"/>
  <c r="S23" i="1"/>
  <c r="R24" i="1"/>
  <c r="R23" i="1"/>
  <c r="Z20" i="1"/>
  <c r="Z19" i="1"/>
  <c r="Y19" i="1"/>
  <c r="V20" i="1"/>
  <c r="U20" i="1"/>
  <c r="S20" i="1"/>
  <c r="R20" i="1"/>
  <c r="S19" i="1"/>
  <c r="R19" i="1"/>
  <c r="T19" i="1" l="1"/>
  <c r="W19" i="1" s="1"/>
  <c r="T23" i="1"/>
  <c r="W23" i="1" s="1"/>
  <c r="T20" i="1"/>
  <c r="W20" i="1" s="1"/>
  <c r="W24" i="1"/>
  <c r="T42" i="1"/>
  <c r="W42" i="1" s="1"/>
  <c r="T40" i="1"/>
  <c r="W40" i="1" s="1"/>
  <c r="T46" i="1"/>
  <c r="W46" i="1" s="1"/>
  <c r="T41" i="1"/>
  <c r="W41" i="1" s="1"/>
  <c r="Z49" i="1"/>
  <c r="Z50" i="1"/>
  <c r="Z35" i="1" l="1"/>
  <c r="Z34" i="1"/>
  <c r="Y35" i="1"/>
  <c r="Y34" i="1"/>
  <c r="AB49" i="1"/>
  <c r="AB50" i="1"/>
  <c r="AB54" i="1"/>
  <c r="AB55" i="1"/>
  <c r="AB35" i="1"/>
  <c r="AB36" i="1"/>
  <c r="Z27" i="1"/>
  <c r="Y27" i="1"/>
  <c r="AB28" i="1" l="1"/>
  <c r="Z29" i="1"/>
  <c r="Z28" i="1"/>
  <c r="V55" i="1" l="1"/>
  <c r="V54" i="1"/>
  <c r="U55" i="1"/>
  <c r="U54" i="1"/>
  <c r="S55" i="1"/>
  <c r="R55" i="1"/>
  <c r="S54" i="1"/>
  <c r="R54" i="1"/>
  <c r="V49" i="1"/>
  <c r="U50" i="1"/>
  <c r="S50" i="1"/>
  <c r="R50" i="1"/>
  <c r="U49" i="1"/>
  <c r="U36" i="1"/>
  <c r="S49" i="1"/>
  <c r="R49" i="1"/>
  <c r="S36" i="1"/>
  <c r="R36" i="1"/>
  <c r="U35" i="1"/>
  <c r="S35" i="1"/>
  <c r="R35" i="1"/>
  <c r="S34" i="1"/>
  <c r="R34" i="1"/>
  <c r="V28" i="1"/>
  <c r="V29" i="1"/>
  <c r="U29" i="1"/>
  <c r="S29" i="1"/>
  <c r="R29" i="1"/>
  <c r="U28" i="1"/>
  <c r="U27" i="1"/>
  <c r="S28" i="1"/>
  <c r="R28" i="1"/>
  <c r="S27" i="1"/>
  <c r="T36" i="1" l="1"/>
  <c r="T28" i="1"/>
  <c r="W28" i="1" s="1"/>
  <c r="T29" i="1"/>
  <c r="W29" i="1" s="1"/>
  <c r="T35" i="1"/>
  <c r="T34" i="1"/>
  <c r="T49" i="1"/>
  <c r="W49" i="1" s="1"/>
  <c r="T27" i="1"/>
  <c r="W27" i="1" s="1"/>
  <c r="T50" i="1"/>
  <c r="W50" i="1" s="1"/>
  <c r="T54" i="1"/>
  <c r="W54" i="1" s="1"/>
  <c r="T55" i="1"/>
  <c r="W55" i="1" s="1"/>
  <c r="AB29" i="1"/>
  <c r="AB34" i="1"/>
  <c r="W35" i="1" l="1"/>
  <c r="W36" i="1"/>
  <c r="W34" i="1"/>
</calcChain>
</file>

<file path=xl/comments1.xml><?xml version="1.0" encoding="utf-8"?>
<comments xmlns="http://schemas.openxmlformats.org/spreadsheetml/2006/main">
  <authors>
    <author>Ma. Teresa Rodriguez</author>
  </authors>
  <commentList>
    <comment ref="A2" authorId="0" shapeId="0">
      <text>
        <r>
          <rPr>
            <b/>
            <sz val="9"/>
            <color indexed="81"/>
            <rFont val="Tahoma"/>
            <family val="2"/>
          </rPr>
          <t>Ma. Teresa Rodriguez:</t>
        </r>
        <r>
          <rPr>
            <sz val="9"/>
            <color indexed="81"/>
            <rFont val="Tahoma"/>
            <family val="2"/>
          </rPr>
          <t>Ver archivo Diseño_parcelas.xls</t>
        </r>
      </text>
    </comment>
    <comment ref="F2" authorId="0" shapeId="0">
      <text>
        <r>
          <rPr>
            <b/>
            <sz val="9"/>
            <color indexed="81"/>
            <rFont val="Tahoma"/>
            <family val="2"/>
          </rPr>
          <t>Ma. Teresa Rodriguez:</t>
        </r>
        <r>
          <rPr>
            <sz val="9"/>
            <color indexed="81"/>
            <rFont val="Tahoma"/>
            <family val="2"/>
          </rPr>
          <t xml:space="preserve">
solo el año</t>
        </r>
      </text>
    </comment>
    <comment ref="G2" authorId="0" shapeId="0">
      <text>
        <r>
          <rPr>
            <b/>
            <sz val="9"/>
            <color indexed="81"/>
            <rFont val="Tahoma"/>
            <family val="2"/>
          </rPr>
          <t>Ma. Teresa Rodriguez:</t>
        </r>
        <r>
          <rPr>
            <sz val="9"/>
            <color indexed="81"/>
            <rFont val="Tahoma"/>
            <family val="2"/>
          </rPr>
          <t xml:space="preserve">
DD/MM/AAAA</t>
        </r>
      </text>
    </comment>
    <comment ref="H2" authorId="0" shapeId="0">
      <text>
        <r>
          <rPr>
            <b/>
            <sz val="9"/>
            <color indexed="81"/>
            <rFont val="Tahoma"/>
            <family val="2"/>
          </rPr>
          <t>Ma. Teresa Rodriguez:</t>
        </r>
        <r>
          <rPr>
            <sz val="9"/>
            <color indexed="81"/>
            <rFont val="Tahoma"/>
            <family val="2"/>
          </rPr>
          <t xml:space="preserve">
Rm (Rhizophora mangle)
Ag (Avicennia germinans)
Lr (Laguncularia racemosa)
Ce (Conocarpus erectus)
xx (asignar uno para cada especie diferente; en la columna de observaciones indicar el nombre completo de la especie diferente a manglar)</t>
        </r>
      </text>
    </comment>
  </commentList>
</comments>
</file>

<file path=xl/sharedStrings.xml><?xml version="1.0" encoding="utf-8"?>
<sst xmlns="http://schemas.openxmlformats.org/spreadsheetml/2006/main" count="361" uniqueCount="52">
  <si>
    <t>Estado</t>
  </si>
  <si>
    <t>Fecha de muestreo</t>
  </si>
  <si>
    <t>Sistema Lagunar</t>
  </si>
  <si>
    <t>Altura total promedio (m)</t>
  </si>
  <si>
    <t>Área basal (m2)</t>
  </si>
  <si>
    <t>Área basal (m2/ha)</t>
  </si>
  <si>
    <t>Densidad (indv/ha)</t>
  </si>
  <si>
    <t>Densidad relativa</t>
  </si>
  <si>
    <t>Frecuencia relativa</t>
  </si>
  <si>
    <t>Dominancia relativa</t>
  </si>
  <si>
    <t>Valor de importancia</t>
  </si>
  <si>
    <t>Procentaje de extracción de árbolado</t>
  </si>
  <si>
    <t>Porcentaje de mortalidad de arbolado</t>
  </si>
  <si>
    <t>Densidad de plantulas por m2</t>
  </si>
  <si>
    <t>Densidad de plantulas por ha</t>
  </si>
  <si>
    <t>Año</t>
  </si>
  <si>
    <t>Localidad</t>
  </si>
  <si>
    <t>Nombre del sitio</t>
  </si>
  <si>
    <t>Especie</t>
  </si>
  <si>
    <t>DAP promedio (cm)</t>
  </si>
  <si>
    <t xml:space="preserve">Desviación estandar (cm) 
del DAP promedio </t>
  </si>
  <si>
    <t xml:space="preserve">Desviación estandar (m) 
de la altura total promedio </t>
  </si>
  <si>
    <t>Altura del fuste limpio promedio (m)</t>
  </si>
  <si>
    <t xml:space="preserve">Desviación estandar (m) 
de la altura del fuste limpio </t>
  </si>
  <si>
    <t>Densidad (ind/unidad de área)</t>
  </si>
  <si>
    <t xml:space="preserve">Identificador de la parcela </t>
  </si>
  <si>
    <t>Resumen estructural de las parcelas de 20x20m</t>
  </si>
  <si>
    <t>Diámetro promedio 
de la copa (m)</t>
  </si>
  <si>
    <t>Altura promedio de plántulas</t>
  </si>
  <si>
    <t>Ag</t>
  </si>
  <si>
    <t>Lr</t>
  </si>
  <si>
    <t>Rm</t>
  </si>
  <si>
    <t>NA</t>
  </si>
  <si>
    <t>7</t>
  </si>
  <si>
    <t>Nayarit</t>
  </si>
  <si>
    <t>Marismas Nacionales</t>
  </si>
  <si>
    <t>Unión de Corrientes</t>
  </si>
  <si>
    <t>ND</t>
  </si>
  <si>
    <t>Boca de Camichín</t>
  </si>
  <si>
    <t>Punta del Bule</t>
  </si>
  <si>
    <t>Tapo Zomatlán</t>
  </si>
  <si>
    <t>El Diablito</t>
  </si>
  <si>
    <t>Punta el Comején</t>
  </si>
  <si>
    <t>Boca de los Murillo</t>
  </si>
  <si>
    <t>Chorro Grande</t>
  </si>
  <si>
    <t>Rincón del Burro</t>
  </si>
  <si>
    <t>Las Estacas</t>
  </si>
  <si>
    <t>Los Pochotes</t>
  </si>
  <si>
    <t>Crucero</t>
  </si>
  <si>
    <t>Indice de complejidad de Holdridge
(por parcela)</t>
  </si>
  <si>
    <t>NI</t>
  </si>
  <si>
    <t>No se observó ningún individuo dentro de la parcela de 20x20 ID_12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</si>
</sst>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
    <numFmt numFmtId="165" formatCode="0.0000"/>
    <numFmt numFmtId="166" formatCode="0.00000"/>
    <numFmt numFmtId="167" formatCode="0.0000000000"/>
    <numFmt numFmtId="168" formatCode="0.0E+00"/>
    <numFmt numFmtId="169" formatCode="0E+00"/>
  </numFmts>
  <fonts count="11" x14ac:knownFonts="1">
    <font>
      <sz val="11"/>
      <color theme="1"/>
      <name val="Calibri"/>
      <family val="2"/>
      <scheme val="minor"/>
    </font>
    <font>
      <sz val="10"/>
      <name val="Arial"/>
      <family val="2"/>
    </font>
    <font>
      <b/>
      <sz val="9"/>
      <color indexed="81"/>
      <name val="Tahoma"/>
      <family val="2"/>
    </font>
    <font>
      <sz val="9"/>
      <color indexed="81"/>
      <name val="Tahoma"/>
      <family val="2"/>
    </font>
    <font>
      <sz val="12"/>
      <color theme="1"/>
      <name val="Times New Roman"/>
      <family val="1"/>
    </font>
    <font>
      <sz val="10"/>
      <name val="Arial"/>
      <family val="2"/>
    </font>
    <font>
      <sz val="12"/>
      <color indexed="8"/>
      <name val="Times New Roman"/>
      <family val="1"/>
    </font>
    <font>
      <b/>
      <sz val="12"/>
      <color theme="1"/>
      <name val="Times New Roman"/>
      <family val="1"/>
    </font>
    <font>
      <b/>
      <sz val="12"/>
      <name val="Times New Roman"/>
      <family val="1"/>
    </font>
    <font>
      <sz val="12"/>
      <name val="Times New Roman"/>
      <family val="1"/>
    </font>
    <font>
      <sz val="11"/>
      <color theme="1"/>
      <name val="Arial"/>
      <family val="2"/>
    </font>
  </fonts>
  <fills count="3">
    <fill>
      <patternFill patternType="none"/>
    </fill>
    <fill>
      <patternFill patternType="gray125"/>
    </fill>
    <fill>
      <patternFill patternType="solid">
        <fgColor theme="3" tint="0.59999389629810485"/>
        <bgColor indexed="64"/>
      </patternFill>
    </fill>
  </fills>
  <borders count="1">
    <border>
      <left/>
      <right/>
      <top/>
      <bottom/>
      <diagonal/>
    </border>
  </borders>
  <cellStyleXfs count="13">
    <xf numFmtId="0" fontId="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cellStyleXfs>
  <cellXfs count="49">
    <xf numFmtId="0" fontId="0" fillId="0" borderId="0" xfId="0"/>
    <xf numFmtId="0" fontId="4" fillId="0" borderId="0" xfId="0" applyFont="1" applyFill="1" applyBorder="1" applyAlignment="1">
      <alignment horizontal="center"/>
    </xf>
    <xf numFmtId="0" fontId="7" fillId="0" borderId="0" xfId="0" applyFont="1" applyFill="1" applyBorder="1" applyAlignment="1">
      <alignment horizontal="center"/>
    </xf>
    <xf numFmtId="49" fontId="4" fillId="0" borderId="0" xfId="0" applyNumberFormat="1" applyFont="1" applyFill="1" applyBorder="1" applyAlignment="1">
      <alignment horizontal="center"/>
    </xf>
    <xf numFmtId="14" fontId="4" fillId="0" borderId="0" xfId="0" applyNumberFormat="1" applyFont="1" applyFill="1" applyBorder="1" applyAlignment="1">
      <alignment horizontal="center"/>
    </xf>
    <xf numFmtId="2" fontId="4" fillId="0" borderId="0" xfId="0" applyNumberFormat="1" applyFont="1" applyFill="1" applyBorder="1" applyAlignment="1">
      <alignment horizontal="center"/>
    </xf>
    <xf numFmtId="164" fontId="4" fillId="0" borderId="0" xfId="0" applyNumberFormat="1" applyFont="1" applyFill="1" applyBorder="1" applyAlignment="1">
      <alignment horizontal="center"/>
    </xf>
    <xf numFmtId="1" fontId="4" fillId="0" borderId="0" xfId="0" applyNumberFormat="1" applyFont="1" applyFill="1" applyBorder="1" applyAlignment="1">
      <alignment horizontal="center"/>
    </xf>
    <xf numFmtId="165" fontId="4" fillId="0" borderId="0" xfId="0" applyNumberFormat="1" applyFont="1" applyFill="1" applyBorder="1" applyAlignment="1">
      <alignment horizontal="center"/>
    </xf>
    <xf numFmtId="2" fontId="6" fillId="0" borderId="0" xfId="12" applyNumberFormat="1" applyFont="1" applyFill="1" applyAlignment="1">
      <alignment horizontal="center" vertical="top"/>
    </xf>
    <xf numFmtId="2" fontId="6" fillId="0" borderId="0" xfId="11" applyNumberFormat="1" applyFont="1" applyFill="1" applyAlignment="1">
      <alignment horizontal="center" vertical="top"/>
    </xf>
    <xf numFmtId="14" fontId="9" fillId="0" borderId="0" xfId="0" applyNumberFormat="1" applyFont="1" applyFill="1" applyBorder="1" applyAlignment="1">
      <alignment horizontal="center"/>
    </xf>
    <xf numFmtId="2" fontId="4" fillId="0" borderId="0" xfId="0" applyNumberFormat="1" applyFont="1" applyFill="1" applyAlignment="1">
      <alignment horizontal="center"/>
    </xf>
    <xf numFmtId="0" fontId="7" fillId="2" borderId="0" xfId="0" applyFont="1" applyFill="1" applyBorder="1" applyAlignment="1">
      <alignment horizontal="center" vertical="center" wrapText="1"/>
    </xf>
    <xf numFmtId="14" fontId="4" fillId="0" borderId="0" xfId="0" applyNumberFormat="1" applyFont="1" applyFill="1" applyAlignment="1">
      <alignment horizontal="center"/>
    </xf>
    <xf numFmtId="0" fontId="7" fillId="2" borderId="0" xfId="0" applyFont="1" applyFill="1" applyAlignment="1">
      <alignment horizontal="center" vertical="center"/>
    </xf>
    <xf numFmtId="0" fontId="7" fillId="2" borderId="0" xfId="0" applyFont="1" applyFill="1" applyBorder="1" applyAlignment="1">
      <alignment horizontal="center" vertical="center"/>
    </xf>
    <xf numFmtId="0" fontId="8" fillId="2" borderId="0" xfId="0" applyFont="1" applyFill="1" applyBorder="1" applyAlignment="1">
      <alignment horizontal="center" vertical="center" wrapText="1"/>
    </xf>
    <xf numFmtId="0" fontId="7" fillId="0" borderId="0" xfId="0" applyFont="1" applyFill="1" applyBorder="1" applyAlignment="1">
      <alignment horizontal="center" vertical="center"/>
    </xf>
    <xf numFmtId="0" fontId="7" fillId="0" borderId="0" xfId="0" applyFont="1" applyFill="1" applyBorder="1" applyAlignment="1">
      <alignment horizontal="left"/>
    </xf>
    <xf numFmtId="2" fontId="0" fillId="0" borderId="0" xfId="0" applyNumberFormat="1" applyFill="1" applyBorder="1" applyAlignment="1">
      <alignment horizontal="center"/>
    </xf>
    <xf numFmtId="0" fontId="4" fillId="0" borderId="0" xfId="0" applyNumberFormat="1" applyFont="1" applyFill="1" applyBorder="1" applyAlignment="1">
      <alignment horizontal="center"/>
    </xf>
    <xf numFmtId="166" fontId="4" fillId="0" borderId="0" xfId="0" applyNumberFormat="1" applyFont="1" applyFill="1" applyBorder="1" applyAlignment="1">
      <alignment horizontal="center"/>
    </xf>
    <xf numFmtId="0" fontId="10" fillId="0" borderId="0" xfId="0" applyFont="1" applyAlignment="1">
      <alignment horizontal="justify" vertical="center"/>
    </xf>
    <xf numFmtId="167" fontId="6" fillId="0" borderId="0" xfId="11" applyNumberFormat="1" applyFont="1" applyFill="1" applyAlignment="1">
      <alignment horizontal="center" vertical="top"/>
    </xf>
    <xf numFmtId="168" fontId="9" fillId="0" borderId="0" xfId="0" applyNumberFormat="1" applyFont="1" applyFill="1" applyBorder="1" applyAlignment="1">
      <alignment horizontal="center"/>
    </xf>
    <xf numFmtId="164" fontId="9" fillId="0" borderId="0" xfId="0" applyNumberFormat="1" applyFont="1" applyFill="1" applyBorder="1" applyAlignment="1">
      <alignment horizontal="center"/>
    </xf>
    <xf numFmtId="1" fontId="9" fillId="0" borderId="0" xfId="0" applyNumberFormat="1" applyFont="1" applyFill="1" applyBorder="1" applyAlignment="1">
      <alignment horizontal="center"/>
    </xf>
    <xf numFmtId="169" fontId="9" fillId="0" borderId="0" xfId="0" applyNumberFormat="1" applyFont="1" applyFill="1" applyBorder="1" applyAlignment="1">
      <alignment horizontal="center"/>
    </xf>
    <xf numFmtId="164" fontId="4" fillId="0" borderId="0" xfId="0" applyNumberFormat="1" applyFont="1" applyAlignment="1">
      <alignment horizontal="center"/>
    </xf>
    <xf numFmtId="1" fontId="4" fillId="0" borderId="0" xfId="0" applyNumberFormat="1" applyFont="1" applyAlignment="1">
      <alignment horizontal="center"/>
    </xf>
    <xf numFmtId="164" fontId="6" fillId="0" borderId="0" xfId="10" applyNumberFormat="1" applyFont="1" applyFill="1" applyBorder="1" applyAlignment="1" applyProtection="1">
      <alignment horizontal="center" wrapText="1"/>
    </xf>
    <xf numFmtId="164" fontId="6" fillId="0" borderId="0" xfId="0" applyNumberFormat="1" applyFont="1" applyFill="1" applyAlignment="1">
      <alignment horizontal="center" vertical="center"/>
    </xf>
    <xf numFmtId="1" fontId="6" fillId="0" borderId="0" xfId="10" applyNumberFormat="1" applyFont="1" applyFill="1" applyBorder="1" applyAlignment="1" applyProtection="1">
      <alignment horizontal="center" wrapText="1"/>
    </xf>
    <xf numFmtId="164" fontId="6" fillId="0" borderId="0" xfId="11" applyNumberFormat="1" applyFont="1" applyFill="1" applyAlignment="1">
      <alignment horizontal="center" vertical="top"/>
    </xf>
    <xf numFmtId="164" fontId="4" fillId="0" borderId="0" xfId="0" applyNumberFormat="1" applyFont="1" applyFill="1" applyAlignment="1">
      <alignment horizontal="center"/>
    </xf>
    <xf numFmtId="1" fontId="4" fillId="0" borderId="0" xfId="0" applyNumberFormat="1" applyFont="1" applyFill="1" applyAlignment="1">
      <alignment horizontal="center"/>
    </xf>
    <xf numFmtId="1" fontId="6" fillId="0" borderId="0" xfId="11" applyNumberFormat="1" applyFont="1" applyFill="1" applyAlignment="1">
      <alignment horizontal="center" vertical="top"/>
    </xf>
    <xf numFmtId="2" fontId="4" fillId="0" borderId="0" xfId="0" applyNumberFormat="1" applyFont="1" applyFill="1" applyBorder="1" applyAlignment="1">
      <alignment horizontal="center" vertical="center"/>
    </xf>
    <xf numFmtId="2" fontId="9" fillId="0" borderId="0" xfId="0" applyNumberFormat="1" applyFont="1" applyFill="1" applyBorder="1" applyAlignment="1">
      <alignment horizontal="center"/>
    </xf>
    <xf numFmtId="2" fontId="6" fillId="0" borderId="0" xfId="11" applyNumberFormat="1" applyFont="1" applyFill="1" applyAlignment="1">
      <alignment horizontal="left" vertical="top"/>
    </xf>
    <xf numFmtId="2" fontId="4" fillId="0" borderId="0" xfId="0" applyNumberFormat="1" applyFont="1" applyFill="1" applyBorder="1" applyAlignment="1">
      <alignment horizontal="center" vertical="center"/>
    </xf>
    <xf numFmtId="2" fontId="0" fillId="0" borderId="0" xfId="0" applyNumberFormat="1" applyFill="1" applyAlignment="1">
      <alignment horizontal="center" vertical="center"/>
    </xf>
    <xf numFmtId="164" fontId="0" fillId="0" borderId="0" xfId="0" applyNumberFormat="1" applyFill="1" applyAlignment="1">
      <alignment horizontal="center" vertical="center"/>
    </xf>
    <xf numFmtId="0" fontId="0" fillId="0" borderId="0" xfId="0" applyFill="1" applyAlignment="1">
      <alignment horizontal="center" vertical="center"/>
    </xf>
    <xf numFmtId="2" fontId="0" fillId="0" borderId="0" xfId="0" applyNumberFormat="1" applyAlignment="1">
      <alignment horizontal="center" vertical="center"/>
    </xf>
    <xf numFmtId="164" fontId="4" fillId="0" borderId="0" xfId="0" applyNumberFormat="1" applyFont="1" applyFill="1" applyBorder="1" applyAlignment="1">
      <alignment horizontal="center" vertical="center"/>
    </xf>
    <xf numFmtId="0" fontId="0" fillId="0" borderId="0" xfId="0" applyAlignment="1">
      <alignment horizontal="center" vertical="center"/>
    </xf>
    <xf numFmtId="164" fontId="0" fillId="0" borderId="0" xfId="0" applyNumberFormat="1" applyAlignment="1">
      <alignment horizontal="center" vertical="center"/>
    </xf>
  </cellXfs>
  <cellStyles count="13">
    <cellStyle name="Normal" xfId="0" builtinId="0"/>
    <cellStyle name="Normal 11" xfId="1"/>
    <cellStyle name="Normal 12" xfId="2"/>
    <cellStyle name="Normal 13" xfId="3"/>
    <cellStyle name="Normal 15" xfId="4"/>
    <cellStyle name="Normal 20" xfId="5"/>
    <cellStyle name="Normal 22" xfId="6"/>
    <cellStyle name="Normal 24" xfId="7"/>
    <cellStyle name="Normal 27" xfId="8"/>
    <cellStyle name="Normal 28" xfId="9"/>
    <cellStyle name="Normal_Hoja1" xfId="10"/>
    <cellStyle name="Normal_Resumen_estructural" xfId="11"/>
    <cellStyle name="Normal_Resumen_estructural_1" xfId="1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5</xdr:col>
      <xdr:colOff>0</xdr:colOff>
      <xdr:row>8</xdr:row>
      <xdr:rowOff>0</xdr:rowOff>
    </xdr:from>
    <xdr:to>
      <xdr:col>12</xdr:col>
      <xdr:colOff>619125</xdr:colOff>
      <xdr:row>13</xdr:row>
      <xdr:rowOff>152400</xdr:rowOff>
    </xdr:to>
    <xdr:sp macro="" textlink="">
      <xdr:nvSpPr>
        <xdr:cNvPr id="2" name="1 CuadroTexto"/>
        <xdr:cNvSpPr txBox="1"/>
      </xdr:nvSpPr>
      <xdr:spPr>
        <a:xfrm>
          <a:off x="3810000" y="1524000"/>
          <a:ext cx="5953125" cy="1104900"/>
        </a:xfrm>
        <a:prstGeom prst="rect">
          <a:avLst/>
        </a:prstGeom>
        <a:solidFill>
          <a:schemeClr val="lt1"/>
        </a:solidFill>
        <a:ln w="9525" cmpd="sng">
          <a:solidFill>
            <a:schemeClr val="lt1">
              <a:shade val="50000"/>
            </a:schemeClr>
          </a:solidFill>
        </a:ln>
        <a:effectLst>
          <a:innerShdw blurRad="114300">
            <a:prstClr val="black"/>
          </a:innerShdw>
        </a:effectLst>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lang="es-MX" sz="1200" b="1">
              <a:solidFill>
                <a:schemeClr val="dk1"/>
              </a:solidFill>
              <a:latin typeface="+mn-lt"/>
              <a:ea typeface="+mn-ea"/>
              <a:cs typeface="+mn-cs"/>
            </a:rPr>
            <a:t>Forma de citar: </a:t>
          </a:r>
          <a:r>
            <a:rPr lang="es-MX" sz="1100" b="0" i="0" u="none" strike="noStrike" baseline="0" smtClean="0">
              <a:solidFill>
                <a:schemeClr val="dk1"/>
              </a:solidFill>
              <a:latin typeface="+mn-lt"/>
              <a:ea typeface="+mn-ea"/>
              <a:cs typeface="+mn-cs"/>
            </a:rPr>
            <a:t> </a:t>
          </a:r>
          <a:r>
            <a:rPr lang="es-MX" sz="1100">
              <a:solidFill>
                <a:schemeClr val="dk1"/>
              </a:solidFill>
              <a:effectLst/>
              <a:latin typeface="+mn-lt"/>
              <a:ea typeface="+mn-ea"/>
              <a:cs typeface="+mn-cs"/>
            </a:rPr>
            <a:t>Manzano Sarabia M. M., O.G. Millán Aguilar, I. Castillo Cruz, L.E. Rodríguez Arredondo, E. Valdez Murillo, M. Ruiz Domínguez, M.A. Hurtado Oliva, M. del P. Torres García. 2023. Impacto de la variabilidad climática y actividades humanas en la estructura de manglares de Marismas Nacionales. Universidad Autónoma de Sinaloa. Facultad de Ciencias del Mar. Hojas de Cálculo Base_resumen_estructura SNIB-CONABIO, Proyecto No. LM019. Ciudad de México.</a:t>
          </a:r>
          <a:r>
            <a:rPr lang="es-MX" sz="1100" b="0" i="0" u="none" strike="noStrike" baseline="0" smtClean="0">
              <a:solidFill>
                <a:schemeClr val="dk1"/>
              </a:solidFill>
              <a:latin typeface="+mn-lt"/>
              <a:ea typeface="+mn-ea"/>
              <a:cs typeface="+mn-cs"/>
            </a:rPr>
            <a:t>	</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C158"/>
  <sheetViews>
    <sheetView topLeftCell="P1" zoomScale="85" zoomScaleNormal="85" workbookViewId="0">
      <pane ySplit="2" topLeftCell="A38" activePane="bottomLeft" state="frozen"/>
      <selection activeCell="E1" sqref="E1"/>
      <selection pane="bottomLeft" activeCell="X51" sqref="X51:X53"/>
    </sheetView>
  </sheetViews>
  <sheetFormatPr baseColWidth="10" defaultColWidth="11.42578125" defaultRowHeight="15.75" x14ac:dyDescent="0.25"/>
  <cols>
    <col min="1" max="1" width="23.28515625" style="1" customWidth="1"/>
    <col min="2" max="2" width="17.7109375" style="1" customWidth="1"/>
    <col min="3" max="3" width="36.5703125" style="1" customWidth="1"/>
    <col min="4" max="4" width="20.5703125" style="1" bestFit="1" customWidth="1"/>
    <col min="5" max="5" width="25.7109375" style="1" customWidth="1"/>
    <col min="6" max="6" width="11.7109375" style="1" customWidth="1"/>
    <col min="7" max="7" width="25.42578125" style="1" customWidth="1"/>
    <col min="8" max="8" width="18" style="1" customWidth="1"/>
    <col min="9" max="9" width="17.7109375" style="1" customWidth="1"/>
    <col min="10" max="10" width="24.5703125" style="1" customWidth="1"/>
    <col min="11" max="11" width="18.28515625" style="1" customWidth="1"/>
    <col min="12" max="12" width="26" style="1" customWidth="1"/>
    <col min="13" max="13" width="31.28515625" style="1" customWidth="1"/>
    <col min="14" max="15" width="25.7109375" style="1" customWidth="1"/>
    <col min="16" max="16" width="28.42578125" style="1" customWidth="1"/>
    <col min="17" max="18" width="20.28515625" style="1" customWidth="1"/>
    <col min="19" max="19" width="19.28515625" style="1" customWidth="1"/>
    <col min="20" max="20" width="16" style="1" customWidth="1"/>
    <col min="21" max="21" width="20.5703125" style="1" customWidth="1"/>
    <col min="22" max="22" width="19.140625" style="1" customWidth="1"/>
    <col min="23" max="23" width="19.28515625" style="1" customWidth="1"/>
    <col min="24" max="24" width="26.140625" style="1" customWidth="1"/>
    <col min="25" max="25" width="21.7109375" style="1" customWidth="1"/>
    <col min="26" max="26" width="24.5703125" style="1" customWidth="1"/>
    <col min="27" max="27" width="19.28515625" style="1" customWidth="1"/>
    <col min="28" max="28" width="21.42578125" style="1" customWidth="1"/>
    <col min="29" max="29" width="19.140625" style="1" customWidth="1"/>
    <col min="30" max="16384" width="11.42578125" style="1"/>
  </cols>
  <sheetData>
    <row r="1" spans="1:29" x14ac:dyDescent="0.25">
      <c r="A1" s="19" t="s">
        <v>26</v>
      </c>
      <c r="B1" s="2"/>
      <c r="C1" s="2"/>
      <c r="D1" s="2"/>
    </row>
    <row r="2" spans="1:29" s="18" customFormat="1" ht="47.25" x14ac:dyDescent="0.25">
      <c r="A2" s="13" t="s">
        <v>25</v>
      </c>
      <c r="B2" s="15" t="s">
        <v>0</v>
      </c>
      <c r="C2" s="15" t="s">
        <v>16</v>
      </c>
      <c r="D2" s="15" t="s">
        <v>17</v>
      </c>
      <c r="E2" s="16" t="s">
        <v>2</v>
      </c>
      <c r="F2" s="16" t="s">
        <v>15</v>
      </c>
      <c r="G2" s="16" t="s">
        <v>1</v>
      </c>
      <c r="H2" s="16" t="s">
        <v>18</v>
      </c>
      <c r="I2" s="13" t="s">
        <v>19</v>
      </c>
      <c r="J2" s="13" t="s">
        <v>20</v>
      </c>
      <c r="K2" s="13" t="s">
        <v>3</v>
      </c>
      <c r="L2" s="13" t="s">
        <v>21</v>
      </c>
      <c r="M2" s="13" t="s">
        <v>22</v>
      </c>
      <c r="N2" s="13" t="s">
        <v>23</v>
      </c>
      <c r="O2" s="13" t="s">
        <v>27</v>
      </c>
      <c r="P2" s="13" t="s">
        <v>4</v>
      </c>
      <c r="Q2" s="13" t="s">
        <v>5</v>
      </c>
      <c r="R2" s="13" t="s">
        <v>24</v>
      </c>
      <c r="S2" s="13" t="s">
        <v>6</v>
      </c>
      <c r="T2" s="13" t="s">
        <v>7</v>
      </c>
      <c r="U2" s="13" t="s">
        <v>8</v>
      </c>
      <c r="V2" s="17" t="s">
        <v>9</v>
      </c>
      <c r="W2" s="13" t="s">
        <v>10</v>
      </c>
      <c r="X2" s="13" t="s">
        <v>49</v>
      </c>
      <c r="Y2" s="13" t="s">
        <v>11</v>
      </c>
      <c r="Z2" s="13" t="s">
        <v>12</v>
      </c>
      <c r="AA2" s="13" t="s">
        <v>13</v>
      </c>
      <c r="AB2" s="13" t="s">
        <v>14</v>
      </c>
      <c r="AC2" s="13" t="s">
        <v>28</v>
      </c>
    </row>
    <row r="3" spans="1:29" x14ac:dyDescent="0.25">
      <c r="A3" s="1">
        <v>1</v>
      </c>
      <c r="B3" s="1" t="s">
        <v>34</v>
      </c>
      <c r="C3" s="1" t="s">
        <v>35</v>
      </c>
      <c r="D3" s="1" t="s">
        <v>39</v>
      </c>
      <c r="E3" s="1" t="s">
        <v>35</v>
      </c>
      <c r="F3" s="1">
        <v>2019</v>
      </c>
      <c r="G3" s="4">
        <v>43636</v>
      </c>
      <c r="H3" s="1" t="s">
        <v>30</v>
      </c>
      <c r="I3" s="6">
        <v>9.5399999999999991</v>
      </c>
      <c r="J3" s="6">
        <v>4.2300000000000004</v>
      </c>
      <c r="K3" s="6">
        <v>10.63</v>
      </c>
      <c r="L3" s="6">
        <v>2.0699999999999998</v>
      </c>
      <c r="M3" s="6">
        <v>5.38</v>
      </c>
      <c r="N3" s="6">
        <v>2.1</v>
      </c>
      <c r="O3" s="6">
        <v>3.3</v>
      </c>
      <c r="P3" s="25">
        <f>3.1416/4*((I3/100)^2)</f>
        <v>7.1480510639999979E-3</v>
      </c>
      <c r="Q3" s="26">
        <f>P3*10000</f>
        <v>71.480510639999977</v>
      </c>
      <c r="R3" s="1">
        <f>50/400</f>
        <v>0.125</v>
      </c>
      <c r="S3" s="1">
        <f>50/0.04</f>
        <v>1250</v>
      </c>
      <c r="T3" s="6">
        <f>(S3/1900)*100</f>
        <v>65.789473684210535</v>
      </c>
      <c r="U3" s="6">
        <f>(50/76)*100</f>
        <v>65.789473684210535</v>
      </c>
      <c r="V3" s="6">
        <f>(P3/SUM(P3:P4))*100</f>
        <v>60.304851867754394</v>
      </c>
      <c r="W3" s="6">
        <f>T3+U3+V3</f>
        <v>191.88379923617546</v>
      </c>
      <c r="X3" s="41">
        <f>(10.66*7.3283*190*2)/1000</f>
        <v>29.685477639999998</v>
      </c>
      <c r="Y3" s="6">
        <f>(3*100)/53</f>
        <v>5.6603773584905657</v>
      </c>
      <c r="Z3" s="6">
        <f>(7*100)/57</f>
        <v>12.280701754385966</v>
      </c>
      <c r="AA3" s="6">
        <f>15/4</f>
        <v>3.75</v>
      </c>
      <c r="AB3" s="1">
        <f>AA3*10000</f>
        <v>37500</v>
      </c>
      <c r="AC3" s="1" t="s">
        <v>32</v>
      </c>
    </row>
    <row r="4" spans="1:29" x14ac:dyDescent="0.25">
      <c r="A4" s="1">
        <v>1</v>
      </c>
      <c r="B4" s="1" t="s">
        <v>34</v>
      </c>
      <c r="C4" s="1" t="s">
        <v>35</v>
      </c>
      <c r="D4" s="1" t="s">
        <v>39</v>
      </c>
      <c r="E4" s="1" t="s">
        <v>35</v>
      </c>
      <c r="F4" s="1">
        <v>2019</v>
      </c>
      <c r="G4" s="4">
        <v>43636</v>
      </c>
      <c r="H4" s="1" t="s">
        <v>31</v>
      </c>
      <c r="I4" s="6">
        <v>7.74</v>
      </c>
      <c r="J4" s="6">
        <v>2.1</v>
      </c>
      <c r="K4" s="6">
        <v>10.7</v>
      </c>
      <c r="L4" s="6">
        <v>1.61</v>
      </c>
      <c r="M4" s="7">
        <v>5.03</v>
      </c>
      <c r="N4" s="7">
        <v>1.99</v>
      </c>
      <c r="O4" s="6">
        <v>3.52</v>
      </c>
      <c r="P4" s="25">
        <f t="shared" ref="P4:P55" si="0">3.1416/4*((I4/100)^2)</f>
        <v>4.7051429039999997E-3</v>
      </c>
      <c r="Q4" s="26">
        <f>P4*10000</f>
        <v>47.051429039999995</v>
      </c>
      <c r="R4" s="1">
        <f>26/400</f>
        <v>6.5000000000000002E-2</v>
      </c>
      <c r="S4" s="1">
        <f>26/0.04</f>
        <v>650</v>
      </c>
      <c r="T4" s="6">
        <f>(S4/1900)*100</f>
        <v>34.210526315789473</v>
      </c>
      <c r="U4" s="6">
        <f>(26/76)*100</f>
        <v>34.210526315789473</v>
      </c>
      <c r="V4" s="6">
        <f>(P4/SUM(P3:P4))*100</f>
        <v>39.695148132245606</v>
      </c>
      <c r="W4" s="6">
        <f>T4+U4+V4</f>
        <v>108.11620076382455</v>
      </c>
      <c r="X4" s="45">
        <f>(10.66*0.01832085*190*2)/1000</f>
        <v>7.4214099180000007E-2</v>
      </c>
      <c r="Y4" s="1">
        <v>0</v>
      </c>
      <c r="Z4" s="1">
        <v>0</v>
      </c>
      <c r="AA4" s="6">
        <f>25/4</f>
        <v>6.25</v>
      </c>
      <c r="AB4" s="1">
        <f>AA4*10000</f>
        <v>62500</v>
      </c>
      <c r="AC4" s="1" t="s">
        <v>32</v>
      </c>
    </row>
    <row r="5" spans="1:29" x14ac:dyDescent="0.25">
      <c r="A5" s="1">
        <v>1</v>
      </c>
      <c r="B5" s="1" t="s">
        <v>34</v>
      </c>
      <c r="C5" s="1" t="s">
        <v>35</v>
      </c>
      <c r="D5" s="1" t="s">
        <v>39</v>
      </c>
      <c r="E5" s="1" t="s">
        <v>35</v>
      </c>
      <c r="F5" s="1">
        <v>2022</v>
      </c>
      <c r="G5" s="4">
        <v>44830</v>
      </c>
      <c r="H5" s="1" t="s">
        <v>30</v>
      </c>
      <c r="I5" s="5">
        <v>10.1</v>
      </c>
      <c r="J5" s="5">
        <v>3.11</v>
      </c>
      <c r="K5" s="5">
        <v>10.199999999999999</v>
      </c>
      <c r="L5" s="5">
        <v>2.2999999999999998</v>
      </c>
      <c r="M5" s="5">
        <v>4.5999999999999996</v>
      </c>
      <c r="N5" s="5">
        <v>2.2999999999999998</v>
      </c>
      <c r="O5" s="5">
        <v>2.23</v>
      </c>
      <c r="P5" s="25">
        <f>3.1416/4*((I5/100)^2)</f>
        <v>8.0118653999999984E-3</v>
      </c>
      <c r="Q5" s="39">
        <f t="shared" ref="Q5:Q6" si="1">P5*10000</f>
        <v>80.118653999999978</v>
      </c>
      <c r="R5" s="1">
        <f>27/400</f>
        <v>6.7500000000000004E-2</v>
      </c>
      <c r="S5" s="1">
        <f>27/0.04</f>
        <v>675</v>
      </c>
      <c r="T5" s="6">
        <f>(S5/1100)*100</f>
        <v>61.363636363636367</v>
      </c>
      <c r="U5" s="6">
        <f>(27/44)*100</f>
        <v>61.363636363636367</v>
      </c>
      <c r="V5" s="6">
        <f>(P5/SUM(P5:P6))*100</f>
        <v>65.833640197861172</v>
      </c>
      <c r="W5" s="6">
        <f t="shared" ref="W5" si="2">T5+U5+V5</f>
        <v>188.56091292513389</v>
      </c>
      <c r="X5" s="46">
        <f>(6.93*9*110*2)/1000</f>
        <v>13.721399999999999</v>
      </c>
      <c r="Y5" s="1">
        <v>0</v>
      </c>
      <c r="Z5" s="6">
        <f>(7*100)/7</f>
        <v>100</v>
      </c>
      <c r="AA5" s="6">
        <v>0</v>
      </c>
      <c r="AB5" s="1">
        <v>0</v>
      </c>
      <c r="AC5" s="1" t="s">
        <v>32</v>
      </c>
    </row>
    <row r="6" spans="1:29" x14ac:dyDescent="0.25">
      <c r="A6" s="1">
        <v>1</v>
      </c>
      <c r="B6" s="1" t="s">
        <v>34</v>
      </c>
      <c r="C6" s="1" t="s">
        <v>35</v>
      </c>
      <c r="D6" s="1" t="s">
        <v>39</v>
      </c>
      <c r="E6" s="1" t="s">
        <v>35</v>
      </c>
      <c r="F6" s="1">
        <v>2022</v>
      </c>
      <c r="G6" s="4">
        <v>44830</v>
      </c>
      <c r="H6" s="1" t="s">
        <v>31</v>
      </c>
      <c r="I6" s="6">
        <v>6.7</v>
      </c>
      <c r="J6" s="6">
        <v>2.9</v>
      </c>
      <c r="K6" s="6">
        <v>7.1</v>
      </c>
      <c r="L6" s="6">
        <v>2.6</v>
      </c>
      <c r="M6" s="7">
        <v>3.1</v>
      </c>
      <c r="N6" s="7">
        <v>1.47</v>
      </c>
      <c r="O6" s="6">
        <v>2.7</v>
      </c>
      <c r="P6" s="25">
        <v>4.1580000000000002E-3</v>
      </c>
      <c r="Q6" s="39">
        <f t="shared" si="1"/>
        <v>41.580000000000005</v>
      </c>
      <c r="R6" s="1">
        <f>17/400</f>
        <v>4.2500000000000003E-2</v>
      </c>
      <c r="S6" s="1">
        <f>17/0.04</f>
        <v>425</v>
      </c>
      <c r="T6" s="6">
        <f>(S6/1100)*100</f>
        <v>38.636363636363633</v>
      </c>
      <c r="U6" s="6">
        <f>(17/44)*100</f>
        <v>38.636363636363633</v>
      </c>
      <c r="V6" s="6">
        <f>(P6/SUM(P5:P6))*100</f>
        <v>34.166359802138821</v>
      </c>
      <c r="W6" s="6">
        <f>T6+U6+V6</f>
        <v>111.43908707486608</v>
      </c>
      <c r="X6" s="47"/>
      <c r="Y6" s="1">
        <v>0</v>
      </c>
      <c r="Z6" s="1">
        <v>0</v>
      </c>
      <c r="AA6" s="6">
        <v>0</v>
      </c>
      <c r="AB6" s="1">
        <v>0</v>
      </c>
      <c r="AC6" s="1" t="s">
        <v>32</v>
      </c>
    </row>
    <row r="7" spans="1:29" x14ac:dyDescent="0.25">
      <c r="A7" s="1">
        <v>2</v>
      </c>
      <c r="B7" s="1" t="s">
        <v>34</v>
      </c>
      <c r="C7" s="1" t="s">
        <v>35</v>
      </c>
      <c r="D7" s="1" t="s">
        <v>40</v>
      </c>
      <c r="E7" s="1" t="s">
        <v>35</v>
      </c>
      <c r="F7" s="1">
        <v>2019</v>
      </c>
      <c r="G7" s="4">
        <v>43637</v>
      </c>
      <c r="H7" s="1" t="s">
        <v>30</v>
      </c>
      <c r="I7" s="6">
        <v>5.5</v>
      </c>
      <c r="J7" s="6">
        <v>1.74</v>
      </c>
      <c r="K7" s="6">
        <v>6.4</v>
      </c>
      <c r="L7" s="6">
        <v>1.3</v>
      </c>
      <c r="M7" s="6">
        <v>3.7</v>
      </c>
      <c r="N7" s="6">
        <v>1.4</v>
      </c>
      <c r="O7" s="6">
        <v>1.59</v>
      </c>
      <c r="P7" s="25">
        <f t="shared" si="0"/>
        <v>2.3758349999999998E-3</v>
      </c>
      <c r="Q7" s="26">
        <f t="shared" ref="Q7:Q48" si="3">P7*10000</f>
        <v>23.758349999999997</v>
      </c>
      <c r="R7" s="1">
        <f>117/400</f>
        <v>0.29249999999999998</v>
      </c>
      <c r="S7" s="1">
        <f>117/0.04</f>
        <v>2925</v>
      </c>
      <c r="T7" s="6">
        <f>(S7/2950)*100</f>
        <v>99.152542372881356</v>
      </c>
      <c r="U7" s="6">
        <f>(117/118)*100</f>
        <v>99.152542372881356</v>
      </c>
      <c r="V7" s="6">
        <f>(P7/SUM(P7:P8))*100</f>
        <v>63.165587805387347</v>
      </c>
      <c r="W7" s="6">
        <f>T7+U7+V7</f>
        <v>261.47067255115007</v>
      </c>
      <c r="X7" s="41">
        <f>(6.42*2.6075*295*2)/1000</f>
        <v>9.8766885000000002</v>
      </c>
      <c r="Y7" s="6">
        <f>(12*100)/118</f>
        <v>10.169491525423728</v>
      </c>
      <c r="Z7" s="6">
        <f>(5*100)/111</f>
        <v>4.5045045045045047</v>
      </c>
      <c r="AA7" s="1">
        <f>64/4</f>
        <v>16</v>
      </c>
      <c r="AB7" s="1">
        <f>AA7*10000</f>
        <v>160000</v>
      </c>
      <c r="AC7" s="1">
        <v>14.7</v>
      </c>
    </row>
    <row r="8" spans="1:29" x14ac:dyDescent="0.25">
      <c r="A8" s="1">
        <v>2</v>
      </c>
      <c r="B8" s="1" t="s">
        <v>34</v>
      </c>
      <c r="C8" s="1" t="s">
        <v>35</v>
      </c>
      <c r="D8" s="1" t="s">
        <v>40</v>
      </c>
      <c r="E8" s="1" t="s">
        <v>35</v>
      </c>
      <c r="F8" s="1">
        <v>2019</v>
      </c>
      <c r="G8" s="4">
        <v>43637</v>
      </c>
      <c r="H8" s="1" t="s">
        <v>31</v>
      </c>
      <c r="I8" s="6">
        <v>4.2</v>
      </c>
      <c r="J8" s="5" t="s">
        <v>32</v>
      </c>
      <c r="K8" s="6">
        <v>5.5</v>
      </c>
      <c r="L8" s="6" t="s">
        <v>32</v>
      </c>
      <c r="M8" s="6">
        <v>8.5</v>
      </c>
      <c r="N8" s="6" t="s">
        <v>32</v>
      </c>
      <c r="O8" s="6">
        <v>2.33</v>
      </c>
      <c r="P8" s="25">
        <f t="shared" si="0"/>
        <v>1.3854456000000001E-3</v>
      </c>
      <c r="Q8" s="26">
        <f t="shared" si="3"/>
        <v>13.854456000000001</v>
      </c>
      <c r="R8" s="1">
        <f>1/400</f>
        <v>2.5000000000000001E-3</v>
      </c>
      <c r="S8" s="1">
        <f>1/0.04</f>
        <v>25</v>
      </c>
      <c r="T8" s="6">
        <f>(S8/2950)*100</f>
        <v>0.84745762711864403</v>
      </c>
      <c r="U8" s="6">
        <f>(1/118)*100</f>
        <v>0.84745762711864403</v>
      </c>
      <c r="V8" s="6">
        <f>(P8/SUM(P7:P8))*100</f>
        <v>36.834412194612661</v>
      </c>
      <c r="W8" s="6">
        <f t="shared" ref="W8:W27" si="4">T8+U8+V8</f>
        <v>38.529327448849948</v>
      </c>
      <c r="X8" s="45">
        <f>(6.42*0.00651865*295*2)/1000</f>
        <v>2.4691342469999999E-2</v>
      </c>
      <c r="Y8" s="1">
        <v>0</v>
      </c>
      <c r="Z8" s="1">
        <v>0</v>
      </c>
      <c r="AA8" s="1">
        <v>0</v>
      </c>
      <c r="AB8" s="1">
        <v>0</v>
      </c>
      <c r="AC8" s="1" t="s">
        <v>32</v>
      </c>
    </row>
    <row r="9" spans="1:29" x14ac:dyDescent="0.25">
      <c r="A9" s="1">
        <v>2</v>
      </c>
      <c r="B9" s="1" t="s">
        <v>34</v>
      </c>
      <c r="C9" s="1" t="s">
        <v>35</v>
      </c>
      <c r="D9" s="1" t="s">
        <v>40</v>
      </c>
      <c r="E9" s="1" t="s">
        <v>35</v>
      </c>
      <c r="F9" s="1">
        <v>2022</v>
      </c>
      <c r="G9" s="4">
        <v>44832</v>
      </c>
      <c r="H9" s="1" t="s">
        <v>30</v>
      </c>
      <c r="I9" s="6">
        <v>5.53</v>
      </c>
      <c r="J9" s="5">
        <v>2</v>
      </c>
      <c r="K9" s="6">
        <v>5.6</v>
      </c>
      <c r="L9" s="6">
        <v>1.2</v>
      </c>
      <c r="M9" s="6">
        <v>3.9</v>
      </c>
      <c r="N9" s="6">
        <v>1.3</v>
      </c>
      <c r="O9" s="6">
        <v>2</v>
      </c>
      <c r="P9" s="25">
        <f>3.1416/4*((I9/100)^2)</f>
        <v>2.4018238860000003E-3</v>
      </c>
      <c r="Q9" s="26">
        <f t="shared" si="3"/>
        <v>24.018238860000004</v>
      </c>
      <c r="R9" s="1">
        <f>221/400</f>
        <v>0.55249999999999999</v>
      </c>
      <c r="S9" s="1">
        <f>221/0.04</f>
        <v>5525</v>
      </c>
      <c r="T9" s="6">
        <f>(S9/5550)*100</f>
        <v>99.549549549549553</v>
      </c>
      <c r="U9" s="6">
        <f>(221/222)*100</f>
        <v>99.549549549549553</v>
      </c>
      <c r="V9" s="6">
        <f>(P9/SUM(P9:P10))*100</f>
        <v>65.651157448653834</v>
      </c>
      <c r="W9" s="6">
        <f t="shared" si="4"/>
        <v>264.75025654775294</v>
      </c>
      <c r="X9" s="45">
        <f>(5.61261261*2.717472*555*2)/1000</f>
        <v>16.92985055211933</v>
      </c>
      <c r="Y9" s="1">
        <f>(1*100)/1</f>
        <v>100</v>
      </c>
      <c r="Z9" s="1">
        <f>(21*100)/21</f>
        <v>100</v>
      </c>
      <c r="AA9" s="1">
        <f>12/4</f>
        <v>3</v>
      </c>
      <c r="AB9" s="1">
        <f>AA9*10000</f>
        <v>30000</v>
      </c>
      <c r="AC9" s="1" t="s">
        <v>32</v>
      </c>
    </row>
    <row r="10" spans="1:29" x14ac:dyDescent="0.25">
      <c r="A10" s="1">
        <v>2</v>
      </c>
      <c r="B10" s="1" t="s">
        <v>34</v>
      </c>
      <c r="C10" s="1" t="s">
        <v>35</v>
      </c>
      <c r="D10" s="1" t="s">
        <v>40</v>
      </c>
      <c r="E10" s="1" t="s">
        <v>35</v>
      </c>
      <c r="F10" s="1">
        <v>2022</v>
      </c>
      <c r="G10" s="4">
        <v>44832</v>
      </c>
      <c r="H10" s="1" t="s">
        <v>31</v>
      </c>
      <c r="I10" s="6">
        <v>4</v>
      </c>
      <c r="J10" s="5" t="s">
        <v>32</v>
      </c>
      <c r="K10" s="6">
        <v>8</v>
      </c>
      <c r="L10" s="6" t="s">
        <v>32</v>
      </c>
      <c r="M10" s="6">
        <v>3</v>
      </c>
      <c r="N10" s="6" t="s">
        <v>32</v>
      </c>
      <c r="O10" s="6">
        <v>1.04</v>
      </c>
      <c r="P10" s="25">
        <f>3.1416/4*((I10/100)^2)</f>
        <v>1.2566400000000001E-3</v>
      </c>
      <c r="Q10" s="26">
        <f t="shared" si="3"/>
        <v>12.5664</v>
      </c>
      <c r="R10" s="1">
        <f>1/400</f>
        <v>2.5000000000000001E-3</v>
      </c>
      <c r="S10" s="1">
        <f>1/0.04</f>
        <v>25</v>
      </c>
      <c r="T10" s="6">
        <f>(S10/5550)*100</f>
        <v>0.45045045045045046</v>
      </c>
      <c r="U10" s="6">
        <f>(1/222)*100</f>
        <v>0.45045045045045046</v>
      </c>
      <c r="V10" s="6">
        <f>(P10/SUM(P9:P10))*100</f>
        <v>34.348842551346145</v>
      </c>
      <c r="W10" s="6">
        <f t="shared" si="4"/>
        <v>35.249743452247046</v>
      </c>
      <c r="X10" s="47"/>
      <c r="Y10" s="1">
        <v>0</v>
      </c>
      <c r="Z10" s="1">
        <v>0</v>
      </c>
      <c r="AA10" s="1">
        <v>0</v>
      </c>
      <c r="AB10" s="1">
        <v>0</v>
      </c>
      <c r="AC10" s="1" t="s">
        <v>32</v>
      </c>
    </row>
    <row r="11" spans="1:29" x14ac:dyDescent="0.25">
      <c r="A11" s="1">
        <v>3</v>
      </c>
      <c r="B11" s="1" t="s">
        <v>34</v>
      </c>
      <c r="C11" s="1" t="s">
        <v>35</v>
      </c>
      <c r="D11" s="1" t="s">
        <v>41</v>
      </c>
      <c r="E11" s="1" t="s">
        <v>35</v>
      </c>
      <c r="F11" s="1">
        <v>2019</v>
      </c>
      <c r="G11" s="4">
        <v>43635</v>
      </c>
      <c r="H11" s="1" t="s">
        <v>30</v>
      </c>
      <c r="I11" s="6">
        <v>8.36</v>
      </c>
      <c r="J11" s="7">
        <v>4.03</v>
      </c>
      <c r="K11" s="6">
        <v>10.7</v>
      </c>
      <c r="L11" s="7">
        <v>2.0299999999999998</v>
      </c>
      <c r="M11" s="6">
        <v>5.84</v>
      </c>
      <c r="N11" s="6">
        <v>2.2400000000000002</v>
      </c>
      <c r="O11" s="6">
        <v>2.33</v>
      </c>
      <c r="P11" s="25">
        <f t="shared" si="0"/>
        <v>5.489129183999999E-3</v>
      </c>
      <c r="Q11" s="26">
        <f t="shared" si="3"/>
        <v>54.891291839999987</v>
      </c>
      <c r="R11" s="1">
        <f>18/400</f>
        <v>4.4999999999999998E-2</v>
      </c>
      <c r="S11" s="1">
        <f>18/0.04</f>
        <v>450</v>
      </c>
      <c r="T11" s="7">
        <f>(S11/1125)*100</f>
        <v>40</v>
      </c>
      <c r="U11" s="7">
        <f>(18/45)*100</f>
        <v>40</v>
      </c>
      <c r="V11" s="6">
        <f>(P11/SUM(P11:P12))*100</f>
        <v>36.612576064908723</v>
      </c>
      <c r="W11" s="6">
        <f t="shared" si="4"/>
        <v>116.61257606490872</v>
      </c>
      <c r="X11" s="41">
        <f>(11.69*9.5378*112.5*2)/1000</f>
        <v>25.08679845</v>
      </c>
      <c r="Y11" s="1">
        <f>(6*100)/24</f>
        <v>25</v>
      </c>
      <c r="Z11" s="1">
        <f>(12*100)/30</f>
        <v>40</v>
      </c>
      <c r="AA11" s="1">
        <v>0</v>
      </c>
      <c r="AB11" s="1">
        <v>0</v>
      </c>
      <c r="AC11" s="1" t="s">
        <v>32</v>
      </c>
    </row>
    <row r="12" spans="1:29" x14ac:dyDescent="0.25">
      <c r="A12" s="1">
        <v>3</v>
      </c>
      <c r="B12" s="1" t="s">
        <v>34</v>
      </c>
      <c r="C12" s="1" t="s">
        <v>35</v>
      </c>
      <c r="D12" s="1" t="s">
        <v>41</v>
      </c>
      <c r="E12" s="1" t="s">
        <v>35</v>
      </c>
      <c r="F12" s="1">
        <v>2019</v>
      </c>
      <c r="G12" s="4">
        <v>43635</v>
      </c>
      <c r="H12" s="1" t="s">
        <v>31</v>
      </c>
      <c r="I12" s="7">
        <v>11</v>
      </c>
      <c r="J12" s="6">
        <v>5.08</v>
      </c>
      <c r="K12" s="6">
        <v>12.37</v>
      </c>
      <c r="L12" s="6">
        <v>2.76</v>
      </c>
      <c r="M12" s="6">
        <v>4.12</v>
      </c>
      <c r="N12" s="6">
        <v>1.74</v>
      </c>
      <c r="O12" s="6">
        <v>4.7300000000000004</v>
      </c>
      <c r="P12" s="25">
        <f t="shared" si="0"/>
        <v>9.503339999999999E-3</v>
      </c>
      <c r="Q12" s="27">
        <f t="shared" si="3"/>
        <v>95.033399999999986</v>
      </c>
      <c r="R12" s="1">
        <f>27/400</f>
        <v>6.7500000000000004E-2</v>
      </c>
      <c r="S12" s="1">
        <f>27/0.04</f>
        <v>675</v>
      </c>
      <c r="T12" s="7">
        <f>(S12/1125)*100</f>
        <v>60</v>
      </c>
      <c r="U12" s="7">
        <f>(27/45)*100</f>
        <v>60</v>
      </c>
      <c r="V12" s="6">
        <f>(P12/SUM(P11:P12))*100</f>
        <v>63.387423935091277</v>
      </c>
      <c r="W12" s="6">
        <f t="shared" si="4"/>
        <v>183.38742393509128</v>
      </c>
      <c r="X12" s="45">
        <f>(11.69*0.02384453*112.5*2)/1000</f>
        <v>6.27170750325E-2</v>
      </c>
      <c r="Y12" s="6">
        <f>(1*100)/28</f>
        <v>3.5714285714285716</v>
      </c>
      <c r="Z12" s="1">
        <v>0</v>
      </c>
      <c r="AA12" s="1">
        <f>1/4</f>
        <v>0.25</v>
      </c>
      <c r="AB12" s="1">
        <f>AA12*10000</f>
        <v>2500</v>
      </c>
      <c r="AC12" s="1">
        <v>25</v>
      </c>
    </row>
    <row r="13" spans="1:29" x14ac:dyDescent="0.25">
      <c r="A13" s="1">
        <v>3</v>
      </c>
      <c r="B13" s="1" t="s">
        <v>34</v>
      </c>
      <c r="C13" s="1" t="s">
        <v>35</v>
      </c>
      <c r="D13" s="1" t="s">
        <v>41</v>
      </c>
      <c r="E13" s="1" t="s">
        <v>35</v>
      </c>
      <c r="F13" s="1">
        <v>2022</v>
      </c>
      <c r="G13" s="4">
        <v>44881</v>
      </c>
      <c r="H13" s="1" t="s">
        <v>30</v>
      </c>
      <c r="I13" s="7">
        <v>11.7</v>
      </c>
      <c r="J13" s="6">
        <v>7.7</v>
      </c>
      <c r="K13" s="6">
        <v>10</v>
      </c>
      <c r="L13" s="6">
        <v>2</v>
      </c>
      <c r="M13" s="6">
        <v>6.8</v>
      </c>
      <c r="N13" s="6">
        <v>1.9</v>
      </c>
      <c r="O13" s="6">
        <v>0.6</v>
      </c>
      <c r="P13" s="25">
        <f t="shared" si="0"/>
        <v>1.0751340599999997E-2</v>
      </c>
      <c r="Q13" s="27">
        <f t="shared" si="3"/>
        <v>107.51340599999997</v>
      </c>
      <c r="R13" s="1">
        <f>10/400</f>
        <v>2.5000000000000001E-2</v>
      </c>
      <c r="S13" s="1">
        <f>10/0.04</f>
        <v>250</v>
      </c>
      <c r="T13" s="7">
        <f>(S13/825)*100</f>
        <v>30.303030303030305</v>
      </c>
      <c r="U13" s="7">
        <f>(10/33)*100</f>
        <v>30.303030303030305</v>
      </c>
      <c r="V13" s="6">
        <f>(P13/SUM(P13:P14))*100</f>
        <v>51.738604580845106</v>
      </c>
      <c r="W13" s="6">
        <f t="shared" si="4"/>
        <v>112.34466518690571</v>
      </c>
      <c r="X13" s="42">
        <f>(12.936823*9.636364*82.5*2)/1000</f>
        <v>20.569549346209385</v>
      </c>
      <c r="Y13" s="6">
        <f>(1*100)/1</f>
        <v>100</v>
      </c>
      <c r="Z13" s="6">
        <f>(11*100)/21</f>
        <v>52.38095238095238</v>
      </c>
      <c r="AA13" s="1">
        <v>0</v>
      </c>
      <c r="AB13" s="1">
        <v>0</v>
      </c>
      <c r="AC13" s="1" t="s">
        <v>32</v>
      </c>
    </row>
    <row r="14" spans="1:29" x14ac:dyDescent="0.25">
      <c r="A14" s="1">
        <v>3</v>
      </c>
      <c r="B14" s="1" t="s">
        <v>34</v>
      </c>
      <c r="C14" s="1" t="s">
        <v>35</v>
      </c>
      <c r="D14" s="1" t="s">
        <v>41</v>
      </c>
      <c r="E14" s="1" t="s">
        <v>35</v>
      </c>
      <c r="F14" s="1">
        <v>2022</v>
      </c>
      <c r="G14" s="4">
        <v>44881</v>
      </c>
      <c r="H14" s="1" t="s">
        <v>31</v>
      </c>
      <c r="I14" s="7">
        <v>11.3</v>
      </c>
      <c r="J14" s="6">
        <v>5</v>
      </c>
      <c r="K14" s="6">
        <v>9.5</v>
      </c>
      <c r="L14" s="6">
        <v>2.8</v>
      </c>
      <c r="M14" s="6">
        <v>4.7</v>
      </c>
      <c r="N14" s="6">
        <v>1.4</v>
      </c>
      <c r="O14" s="6">
        <v>1.4</v>
      </c>
      <c r="P14" s="25">
        <f t="shared" si="0"/>
        <v>1.0028772600000001E-2</v>
      </c>
      <c r="Q14" s="27">
        <f t="shared" si="3"/>
        <v>100.28772600000001</v>
      </c>
      <c r="R14" s="1">
        <f>23/400</f>
        <v>5.7500000000000002E-2</v>
      </c>
      <c r="S14" s="1">
        <f>23/0.04</f>
        <v>575</v>
      </c>
      <c r="T14" s="7">
        <f>(S14/825)*100</f>
        <v>69.696969696969703</v>
      </c>
      <c r="U14" s="7">
        <f>(23/33)*100</f>
        <v>69.696969696969703</v>
      </c>
      <c r="V14" s="6">
        <f>(P14/SUM(P13:P14))*100</f>
        <v>48.261395419154894</v>
      </c>
      <c r="W14" s="6">
        <f t="shared" si="4"/>
        <v>187.6553348130943</v>
      </c>
      <c r="X14" s="44"/>
      <c r="Y14" s="6">
        <v>0</v>
      </c>
      <c r="Z14" s="7">
        <f>(10*100)/21</f>
        <v>47.61904761904762</v>
      </c>
      <c r="AA14" s="1">
        <v>0</v>
      </c>
      <c r="AB14" s="1">
        <v>0</v>
      </c>
      <c r="AC14" s="1" t="s">
        <v>32</v>
      </c>
    </row>
    <row r="15" spans="1:29" x14ac:dyDescent="0.25">
      <c r="A15" s="1">
        <v>4</v>
      </c>
      <c r="B15" s="1" t="s">
        <v>34</v>
      </c>
      <c r="C15" s="1" t="s">
        <v>35</v>
      </c>
      <c r="D15" s="1" t="s">
        <v>45</v>
      </c>
      <c r="E15" s="1" t="s">
        <v>35</v>
      </c>
      <c r="F15" s="1">
        <v>2019</v>
      </c>
      <c r="G15" s="4">
        <v>43634</v>
      </c>
      <c r="H15" s="1" t="s">
        <v>30</v>
      </c>
      <c r="I15" s="6">
        <v>11.35</v>
      </c>
      <c r="J15" s="6">
        <v>3.79</v>
      </c>
      <c r="K15" s="6">
        <v>10.75</v>
      </c>
      <c r="L15" s="6">
        <v>1.5</v>
      </c>
      <c r="M15" s="6">
        <v>5.38</v>
      </c>
      <c r="N15" s="7">
        <v>1.03</v>
      </c>
      <c r="O15" s="6">
        <v>3.84</v>
      </c>
      <c r="P15" s="28">
        <f t="shared" si="0"/>
        <v>1.0117719149999998E-2</v>
      </c>
      <c r="Q15" s="26">
        <f t="shared" si="3"/>
        <v>101.17719149999998</v>
      </c>
      <c r="R15" s="1">
        <f>4/400</f>
        <v>0.01</v>
      </c>
      <c r="S15" s="1">
        <f>4/0.04</f>
        <v>100</v>
      </c>
      <c r="T15" s="6">
        <f>(S15/1150)*100</f>
        <v>8.695652173913043</v>
      </c>
      <c r="U15" s="6">
        <f>(4/46)*100</f>
        <v>8.695652173913043</v>
      </c>
      <c r="V15" s="6">
        <f>(P15/SUM(P15:P16))*100</f>
        <v>48.910804628249785</v>
      </c>
      <c r="W15" s="6">
        <f t="shared" si="4"/>
        <v>66.302108976075871</v>
      </c>
      <c r="X15" s="41">
        <f>(13.16*11.7495*115*2)/1000</f>
        <v>35.563386600000001</v>
      </c>
      <c r="Y15" s="7">
        <v>0</v>
      </c>
      <c r="Z15" s="6">
        <f>(10*100)/14</f>
        <v>71.428571428571431</v>
      </c>
      <c r="AA15" s="1">
        <v>0</v>
      </c>
      <c r="AB15" s="1">
        <v>0</v>
      </c>
      <c r="AC15" s="1" t="s">
        <v>32</v>
      </c>
    </row>
    <row r="16" spans="1:29" x14ac:dyDescent="0.25">
      <c r="A16" s="1">
        <v>4</v>
      </c>
      <c r="B16" s="1" t="s">
        <v>34</v>
      </c>
      <c r="C16" s="1" t="s">
        <v>35</v>
      </c>
      <c r="D16" s="1" t="s">
        <v>45</v>
      </c>
      <c r="E16" s="1" t="s">
        <v>35</v>
      </c>
      <c r="F16" s="1">
        <v>2019</v>
      </c>
      <c r="G16" s="4">
        <v>43634</v>
      </c>
      <c r="H16" s="1" t="s">
        <v>31</v>
      </c>
      <c r="I16" s="6">
        <v>11.6</v>
      </c>
      <c r="J16" s="6">
        <v>4.05</v>
      </c>
      <c r="K16" s="6">
        <v>13.4</v>
      </c>
      <c r="L16" s="6">
        <v>3.16</v>
      </c>
      <c r="M16" s="6">
        <v>5.77</v>
      </c>
      <c r="N16" s="6">
        <v>1.81</v>
      </c>
      <c r="O16" s="7">
        <v>4.04</v>
      </c>
      <c r="P16" s="25">
        <f t="shared" si="0"/>
        <v>1.0568342399999998E-2</v>
      </c>
      <c r="Q16" s="26">
        <f t="shared" si="3"/>
        <v>105.68342399999997</v>
      </c>
      <c r="R16" s="1">
        <f>42/400</f>
        <v>0.105</v>
      </c>
      <c r="S16" s="1">
        <f>42/0.04</f>
        <v>1050</v>
      </c>
      <c r="T16" s="6">
        <f>(S16/1150)*100</f>
        <v>91.304347826086953</v>
      </c>
      <c r="U16" s="6">
        <f>(42/46)*100</f>
        <v>91.304347826086953</v>
      </c>
      <c r="V16" s="6">
        <f>(P16/SUM(P15:P16))*100</f>
        <v>51.089195371750215</v>
      </c>
      <c r="W16" s="6">
        <f t="shared" si="4"/>
        <v>233.69789102392411</v>
      </c>
      <c r="X16" s="45">
        <f>(13.16*0.0293739*115*2)/1000</f>
        <v>8.8908920520000004E-2</v>
      </c>
      <c r="Y16" s="7">
        <v>0</v>
      </c>
      <c r="Z16" s="6">
        <f>(3*100)/45</f>
        <v>6.666666666666667</v>
      </c>
      <c r="AA16" s="1">
        <f>5/4</f>
        <v>1.25</v>
      </c>
      <c r="AB16" s="1">
        <f>AA16*10000</f>
        <v>12500</v>
      </c>
      <c r="AC16" s="1">
        <v>15</v>
      </c>
    </row>
    <row r="17" spans="1:29" x14ac:dyDescent="0.25">
      <c r="A17" s="1">
        <v>4</v>
      </c>
      <c r="B17" s="1" t="s">
        <v>34</v>
      </c>
      <c r="C17" s="1" t="s">
        <v>35</v>
      </c>
      <c r="D17" s="1" t="s">
        <v>45</v>
      </c>
      <c r="E17" s="1" t="s">
        <v>35</v>
      </c>
      <c r="F17" s="1">
        <v>2022</v>
      </c>
      <c r="G17" s="4">
        <v>44833</v>
      </c>
      <c r="H17" s="1" t="s">
        <v>30</v>
      </c>
      <c r="I17" s="6">
        <v>8.6</v>
      </c>
      <c r="J17" s="6" t="s">
        <v>32</v>
      </c>
      <c r="K17" s="6">
        <v>11</v>
      </c>
      <c r="L17" s="6" t="s">
        <v>32</v>
      </c>
      <c r="M17" s="6">
        <v>8</v>
      </c>
      <c r="N17" s="6" t="s">
        <v>32</v>
      </c>
      <c r="O17" s="7">
        <v>3</v>
      </c>
      <c r="P17" s="25">
        <f t="shared" si="0"/>
        <v>5.8088183999999987E-3</v>
      </c>
      <c r="Q17" s="26">
        <f t="shared" si="3"/>
        <v>58.088183999999984</v>
      </c>
      <c r="R17" s="1">
        <f>1/400</f>
        <v>2.5000000000000001E-3</v>
      </c>
      <c r="S17" s="1">
        <f>1/0.04</f>
        <v>25</v>
      </c>
      <c r="T17" s="6">
        <f>(S17/1050)*100</f>
        <v>2.3809523809523809</v>
      </c>
      <c r="U17" s="6">
        <f>(1/42)*100</f>
        <v>2.3809523809523809</v>
      </c>
      <c r="V17" s="6">
        <f>(P17/SUM(P17:P18))*100</f>
        <v>30.44122489298649</v>
      </c>
      <c r="W17" s="6">
        <f t="shared" si="4"/>
        <v>35.203129654891249</v>
      </c>
      <c r="X17" s="41">
        <f>(14.771897*13.4880952*105*2)/1000</f>
        <v>41.841398134324827</v>
      </c>
      <c r="Y17" s="7">
        <v>0</v>
      </c>
      <c r="Z17" s="6">
        <f>(3*100)/7</f>
        <v>42.857142857142854</v>
      </c>
      <c r="AA17" s="1">
        <v>0</v>
      </c>
      <c r="AB17" s="1">
        <v>0</v>
      </c>
      <c r="AC17" s="1" t="s">
        <v>32</v>
      </c>
    </row>
    <row r="18" spans="1:29" x14ac:dyDescent="0.25">
      <c r="A18" s="1">
        <v>4</v>
      </c>
      <c r="B18" s="1" t="s">
        <v>34</v>
      </c>
      <c r="C18" s="1" t="s">
        <v>35</v>
      </c>
      <c r="D18" s="1" t="s">
        <v>45</v>
      </c>
      <c r="E18" s="1" t="s">
        <v>35</v>
      </c>
      <c r="F18" s="1">
        <v>2022</v>
      </c>
      <c r="G18" s="4">
        <v>44833</v>
      </c>
      <c r="H18" s="1" t="s">
        <v>31</v>
      </c>
      <c r="I18" s="6">
        <v>13</v>
      </c>
      <c r="J18" s="6">
        <v>4.5999999999999996</v>
      </c>
      <c r="K18" s="6">
        <v>13.5</v>
      </c>
      <c r="L18" s="6">
        <v>3.1</v>
      </c>
      <c r="M18" s="6">
        <v>5.8</v>
      </c>
      <c r="N18" s="6">
        <v>2.4</v>
      </c>
      <c r="O18" s="7">
        <v>2.17</v>
      </c>
      <c r="P18" s="25">
        <f t="shared" si="0"/>
        <v>1.3273260000000002E-2</v>
      </c>
      <c r="Q18" s="26">
        <f t="shared" si="3"/>
        <v>132.73260000000002</v>
      </c>
      <c r="R18" s="1">
        <f>41/400</f>
        <v>0.10249999999999999</v>
      </c>
      <c r="S18" s="1">
        <f>41/0.04</f>
        <v>1025</v>
      </c>
      <c r="T18" s="6">
        <f>(S18/1050)*100</f>
        <v>97.61904761904762</v>
      </c>
      <c r="U18" s="6">
        <f>(41/42)*100</f>
        <v>97.61904761904762</v>
      </c>
      <c r="V18" s="6">
        <f>(P18/SUM(P17:P18))*100</f>
        <v>69.558775107013503</v>
      </c>
      <c r="W18" s="6">
        <f t="shared" si="4"/>
        <v>264.79687034510874</v>
      </c>
      <c r="X18" s="42">
        <f>(13.16*0.0293739*115*2)/1000</f>
        <v>8.8908920520000004E-2</v>
      </c>
      <c r="Y18" s="7">
        <v>0</v>
      </c>
      <c r="Z18" s="6">
        <f>(4*100)/7</f>
        <v>57.142857142857146</v>
      </c>
      <c r="AA18" s="1">
        <f>3/4</f>
        <v>0.75</v>
      </c>
      <c r="AB18" s="1">
        <f>AA18*10000</f>
        <v>7500</v>
      </c>
      <c r="AC18" s="1">
        <v>57</v>
      </c>
    </row>
    <row r="19" spans="1:29" x14ac:dyDescent="0.25">
      <c r="A19" s="1">
        <v>5</v>
      </c>
      <c r="B19" s="1" t="s">
        <v>34</v>
      </c>
      <c r="C19" s="1" t="s">
        <v>35</v>
      </c>
      <c r="D19" s="1" t="s">
        <v>42</v>
      </c>
      <c r="E19" s="1" t="s">
        <v>35</v>
      </c>
      <c r="F19" s="1">
        <v>2019</v>
      </c>
      <c r="G19" s="4">
        <v>43600</v>
      </c>
      <c r="H19" s="1" t="s">
        <v>30</v>
      </c>
      <c r="I19" s="6">
        <v>9.06</v>
      </c>
      <c r="J19" s="6">
        <v>2.36</v>
      </c>
      <c r="K19" s="6">
        <v>11.07</v>
      </c>
      <c r="L19" s="6">
        <v>5.19</v>
      </c>
      <c r="M19" s="6">
        <v>5.83</v>
      </c>
      <c r="N19" s="6">
        <v>3.44</v>
      </c>
      <c r="O19" s="6">
        <v>1.85</v>
      </c>
      <c r="P19" s="25">
        <f t="shared" si="0"/>
        <v>6.4468459439999994E-3</v>
      </c>
      <c r="Q19" s="26">
        <f>P19*10000</f>
        <v>64.46845943999999</v>
      </c>
      <c r="R19" s="1">
        <f>18/400</f>
        <v>4.4999999999999998E-2</v>
      </c>
      <c r="S19" s="1">
        <f>18/0.04</f>
        <v>450</v>
      </c>
      <c r="T19" s="6">
        <f>(S19/975)*100</f>
        <v>46.153846153846153</v>
      </c>
      <c r="U19" s="6">
        <f>(18/39)*100</f>
        <v>46.153846153846153</v>
      </c>
      <c r="V19" s="6">
        <f>(P19/SUM(P19:P20))*100</f>
        <v>48.746790887933024</v>
      </c>
      <c r="W19" s="6">
        <f>T19+U19+V19</f>
        <v>141.05448319562532</v>
      </c>
      <c r="X19" s="41">
        <f>(11.34*7.0932*97.5*2)/1000</f>
        <v>15.685193160000003</v>
      </c>
      <c r="Y19" s="5">
        <f>(1*100)/19</f>
        <v>5.2631578947368425</v>
      </c>
      <c r="Z19" s="6">
        <f>(20*100)/38</f>
        <v>52.631578947368418</v>
      </c>
      <c r="AA19" s="1">
        <v>0</v>
      </c>
      <c r="AB19" s="1">
        <v>0</v>
      </c>
      <c r="AC19" s="1" t="s">
        <v>32</v>
      </c>
    </row>
    <row r="20" spans="1:29" x14ac:dyDescent="0.25">
      <c r="A20" s="1">
        <v>5</v>
      </c>
      <c r="B20" s="1" t="s">
        <v>34</v>
      </c>
      <c r="C20" s="1" t="s">
        <v>35</v>
      </c>
      <c r="D20" s="1" t="s">
        <v>42</v>
      </c>
      <c r="E20" s="1" t="s">
        <v>35</v>
      </c>
      <c r="F20" s="1">
        <v>2019</v>
      </c>
      <c r="G20" s="4">
        <v>43600</v>
      </c>
      <c r="H20" s="1" t="s">
        <v>31</v>
      </c>
      <c r="I20" s="29">
        <v>9.2899999999999991</v>
      </c>
      <c r="J20" s="6">
        <v>2.62</v>
      </c>
      <c r="K20" s="6">
        <v>11.52</v>
      </c>
      <c r="L20" s="6">
        <v>1.65</v>
      </c>
      <c r="M20" s="6">
        <v>2.5099999999999998</v>
      </c>
      <c r="N20" s="6">
        <v>1.51</v>
      </c>
      <c r="O20" s="6">
        <v>2.87</v>
      </c>
      <c r="P20" s="25">
        <f t="shared" si="0"/>
        <v>6.7783240139999996E-3</v>
      </c>
      <c r="Q20" s="26">
        <f t="shared" si="3"/>
        <v>67.78324013999999</v>
      </c>
      <c r="R20" s="1">
        <f>21/400</f>
        <v>5.2499999999999998E-2</v>
      </c>
      <c r="S20" s="1">
        <f>21/0.04</f>
        <v>525</v>
      </c>
      <c r="T20" s="6">
        <f>(S20/975)*100</f>
        <v>53.846153846153847</v>
      </c>
      <c r="U20" s="6">
        <f>(21/39)*100</f>
        <v>53.846153846153847</v>
      </c>
      <c r="V20" s="6">
        <f>(P20/SUM(P19:P20))*100</f>
        <v>51.253209112066976</v>
      </c>
      <c r="W20" s="6">
        <f t="shared" si="4"/>
        <v>158.94551680437468</v>
      </c>
      <c r="X20" s="45">
        <f>(11.34*0.017733*97.5*2)/1000</f>
        <v>3.9212982899999999E-2</v>
      </c>
      <c r="Y20" s="1">
        <v>0</v>
      </c>
      <c r="Z20" s="6">
        <f>(1*100)/19</f>
        <v>5.2631578947368425</v>
      </c>
      <c r="AA20" s="1">
        <v>0</v>
      </c>
      <c r="AB20" s="1">
        <v>0</v>
      </c>
      <c r="AC20" s="1" t="s">
        <v>32</v>
      </c>
    </row>
    <row r="21" spans="1:29" x14ac:dyDescent="0.25">
      <c r="A21" s="1">
        <v>5</v>
      </c>
      <c r="B21" s="1" t="s">
        <v>34</v>
      </c>
      <c r="C21" s="1" t="s">
        <v>35</v>
      </c>
      <c r="D21" s="1" t="s">
        <v>42</v>
      </c>
      <c r="E21" s="1" t="s">
        <v>35</v>
      </c>
      <c r="F21" s="1">
        <v>2022</v>
      </c>
      <c r="G21" s="4">
        <v>44831</v>
      </c>
      <c r="H21" s="1" t="s">
        <v>30</v>
      </c>
      <c r="I21" s="35">
        <v>10.5</v>
      </c>
      <c r="J21" s="6">
        <v>3.4</v>
      </c>
      <c r="K21" s="6">
        <v>9.4</v>
      </c>
      <c r="L21" s="6">
        <v>2.6</v>
      </c>
      <c r="M21" s="6">
        <v>6</v>
      </c>
      <c r="N21" s="6">
        <v>2.6</v>
      </c>
      <c r="O21" s="6">
        <v>2.2999999999999998</v>
      </c>
      <c r="P21" s="25">
        <f t="shared" si="0"/>
        <v>8.659034999999999E-3</v>
      </c>
      <c r="Q21" s="26">
        <f t="shared" si="3"/>
        <v>86.590349999999987</v>
      </c>
      <c r="R21" s="1">
        <f>22/400</f>
        <v>5.5E-2</v>
      </c>
      <c r="S21" s="1">
        <f>22/0.04</f>
        <v>550</v>
      </c>
      <c r="T21" s="6">
        <f>(S21/1225)*100</f>
        <v>44.897959183673471</v>
      </c>
      <c r="U21" s="6">
        <f>(22/49)*100</f>
        <v>44.897959183673471</v>
      </c>
      <c r="V21" s="6">
        <f>(P21/SUM(P21:P22))*100</f>
        <v>50.961449570121097</v>
      </c>
      <c r="W21" s="6">
        <f t="shared" si="4"/>
        <v>140.75736793746805</v>
      </c>
      <c r="X21" s="41">
        <f>(9.438953*9.73469388*122.5*2)/1000</f>
        <v>22.511902910663373</v>
      </c>
      <c r="Y21" s="1">
        <v>0</v>
      </c>
      <c r="Z21" s="6">
        <f>(17*100)/18</f>
        <v>94.444444444444443</v>
      </c>
      <c r="AA21" s="1">
        <v>0</v>
      </c>
      <c r="AB21" s="1">
        <v>0</v>
      </c>
      <c r="AC21" s="1" t="s">
        <v>32</v>
      </c>
    </row>
    <row r="22" spans="1:29" x14ac:dyDescent="0.25">
      <c r="A22" s="1">
        <v>5</v>
      </c>
      <c r="B22" s="1" t="s">
        <v>34</v>
      </c>
      <c r="C22" s="1" t="s">
        <v>35</v>
      </c>
      <c r="D22" s="1" t="s">
        <v>42</v>
      </c>
      <c r="E22" s="1" t="s">
        <v>35</v>
      </c>
      <c r="F22" s="1">
        <v>2022</v>
      </c>
      <c r="G22" s="4">
        <v>44831</v>
      </c>
      <c r="H22" s="1" t="s">
        <v>31</v>
      </c>
      <c r="I22" s="35">
        <v>10.3</v>
      </c>
      <c r="J22" s="6">
        <v>3.6</v>
      </c>
      <c r="K22" s="6">
        <v>10</v>
      </c>
      <c r="L22" s="6">
        <v>3.1</v>
      </c>
      <c r="M22" s="6">
        <v>4.7</v>
      </c>
      <c r="N22" s="6">
        <v>1.8</v>
      </c>
      <c r="O22" s="6">
        <v>3.2</v>
      </c>
      <c r="P22" s="25">
        <f t="shared" si="0"/>
        <v>8.3323086000000011E-3</v>
      </c>
      <c r="Q22" s="26">
        <f t="shared" si="3"/>
        <v>83.323086000000018</v>
      </c>
      <c r="R22" s="1">
        <f>27/400</f>
        <v>6.7500000000000004E-2</v>
      </c>
      <c r="S22" s="1">
        <f>27/0.04</f>
        <v>675</v>
      </c>
      <c r="T22" s="6">
        <f>(S22/1225)*100</f>
        <v>55.102040816326522</v>
      </c>
      <c r="U22" s="6">
        <f>(27/49)*100</f>
        <v>55.102040816326522</v>
      </c>
      <c r="V22" s="6">
        <f>(P22/SUM(P21:P22))*100</f>
        <v>49.038550429878903</v>
      </c>
      <c r="W22" s="6">
        <f t="shared" si="4"/>
        <v>159.24263206253195</v>
      </c>
      <c r="X22" s="42">
        <f>(11.34*0.017733*97.5*2)/1000</f>
        <v>3.9212982899999999E-2</v>
      </c>
      <c r="Y22" s="1">
        <v>0</v>
      </c>
      <c r="Z22" s="6">
        <f>(1*100)/18</f>
        <v>5.5555555555555554</v>
      </c>
      <c r="AA22" s="1">
        <v>0</v>
      </c>
      <c r="AB22" s="1">
        <v>0</v>
      </c>
      <c r="AC22" s="1" t="s">
        <v>32</v>
      </c>
    </row>
    <row r="23" spans="1:29" x14ac:dyDescent="0.25">
      <c r="A23" s="1">
        <v>6</v>
      </c>
      <c r="B23" s="1" t="s">
        <v>34</v>
      </c>
      <c r="C23" s="1" t="s">
        <v>35</v>
      </c>
      <c r="D23" s="1" t="s">
        <v>43</v>
      </c>
      <c r="E23" s="1" t="s">
        <v>35</v>
      </c>
      <c r="F23" s="1">
        <v>2019</v>
      </c>
      <c r="G23" s="4">
        <v>43599</v>
      </c>
      <c r="H23" s="1" t="s">
        <v>30</v>
      </c>
      <c r="I23" s="30">
        <v>7.03</v>
      </c>
      <c r="J23" s="6">
        <v>3.07</v>
      </c>
      <c r="K23" s="6">
        <v>10.08</v>
      </c>
      <c r="L23" s="6">
        <v>2.15</v>
      </c>
      <c r="M23" s="6">
        <v>5.42</v>
      </c>
      <c r="N23" s="6">
        <v>1.2</v>
      </c>
      <c r="O23" s="6">
        <v>1.77</v>
      </c>
      <c r="P23" s="25">
        <f>3.1416/4*((I23/100)^2)</f>
        <v>3.8815174860000004E-3</v>
      </c>
      <c r="Q23" s="26">
        <f t="shared" si="3"/>
        <v>38.815174860000006</v>
      </c>
      <c r="R23" s="1">
        <f>6/400</f>
        <v>1.4999999999999999E-2</v>
      </c>
      <c r="S23" s="1">
        <f>6/0.04</f>
        <v>150</v>
      </c>
      <c r="T23" s="7">
        <f>(S23/750)*100</f>
        <v>20</v>
      </c>
      <c r="U23" s="7">
        <f>(6/30)*100</f>
        <v>20</v>
      </c>
      <c r="V23" s="6">
        <f>(P23/SUM(P23:P24))*100</f>
        <v>22.22728446178299</v>
      </c>
      <c r="W23" s="6">
        <f>T23+U23+V23</f>
        <v>62.227284461782986</v>
      </c>
      <c r="X23" s="41">
        <f>(12.05*15.27867*75*2)/1000</f>
        <v>27.616196025000001</v>
      </c>
      <c r="Y23" s="6">
        <f>(3*100)/9</f>
        <v>33.333333333333336</v>
      </c>
      <c r="Z23" s="6">
        <f>(8*100)/14</f>
        <v>57.142857142857146</v>
      </c>
      <c r="AA23" s="1">
        <v>0</v>
      </c>
      <c r="AB23" s="1">
        <v>0</v>
      </c>
      <c r="AC23" s="1" t="s">
        <v>32</v>
      </c>
    </row>
    <row r="24" spans="1:29" x14ac:dyDescent="0.25">
      <c r="A24" s="1">
        <v>6</v>
      </c>
      <c r="B24" s="1" t="s">
        <v>34</v>
      </c>
      <c r="C24" s="1" t="s">
        <v>35</v>
      </c>
      <c r="D24" s="1" t="s">
        <v>43</v>
      </c>
      <c r="E24" s="1" t="s">
        <v>35</v>
      </c>
      <c r="F24" s="1">
        <v>2019</v>
      </c>
      <c r="G24" s="4">
        <v>43599</v>
      </c>
      <c r="H24" s="1" t="s">
        <v>31</v>
      </c>
      <c r="I24" s="29">
        <v>13.15</v>
      </c>
      <c r="J24" s="6">
        <v>7.65</v>
      </c>
      <c r="K24" s="6">
        <v>12.54</v>
      </c>
      <c r="L24" s="6">
        <v>3.07</v>
      </c>
      <c r="M24" s="6">
        <v>4.3499999999999996</v>
      </c>
      <c r="N24" s="6">
        <v>2.59</v>
      </c>
      <c r="O24" s="6">
        <v>3.57</v>
      </c>
      <c r="P24" s="25">
        <f t="shared" si="0"/>
        <v>1.3581333150000001E-2</v>
      </c>
      <c r="Q24" s="26">
        <f>P24*10000</f>
        <v>135.8133315</v>
      </c>
      <c r="R24" s="1">
        <f>24/400</f>
        <v>0.06</v>
      </c>
      <c r="S24" s="1">
        <f>24/0.04</f>
        <v>600</v>
      </c>
      <c r="T24" s="7">
        <f>(S24/750)*100</f>
        <v>80</v>
      </c>
      <c r="U24" s="7">
        <f>(24/30)*100</f>
        <v>80</v>
      </c>
      <c r="V24" s="6">
        <f>(P24/SUM(P23:P24))*100</f>
        <v>77.772715538217014</v>
      </c>
      <c r="W24" s="6">
        <f t="shared" si="4"/>
        <v>237.77271553821703</v>
      </c>
      <c r="X24" s="45">
        <f>(12.05*0.0381967*76*2)/1000</f>
        <v>6.9961075720000016E-2</v>
      </c>
      <c r="Y24" s="7">
        <v>0</v>
      </c>
      <c r="Z24" s="6">
        <f>(2*100)/26</f>
        <v>7.6923076923076925</v>
      </c>
      <c r="AA24" s="1">
        <v>0</v>
      </c>
      <c r="AB24" s="1">
        <v>0</v>
      </c>
      <c r="AC24" s="1" t="s">
        <v>32</v>
      </c>
    </row>
    <row r="25" spans="1:29" x14ac:dyDescent="0.25">
      <c r="A25" s="1">
        <v>6</v>
      </c>
      <c r="B25" s="1" t="s">
        <v>34</v>
      </c>
      <c r="C25" s="1" t="s">
        <v>35</v>
      </c>
      <c r="D25" s="1" t="s">
        <v>43</v>
      </c>
      <c r="E25" s="1" t="s">
        <v>35</v>
      </c>
      <c r="F25" s="1">
        <v>2022</v>
      </c>
      <c r="G25" s="4">
        <v>44880</v>
      </c>
      <c r="H25" s="1" t="s">
        <v>30</v>
      </c>
      <c r="I25" s="35">
        <v>10.199999999999999</v>
      </c>
      <c r="J25" s="6">
        <v>4.3</v>
      </c>
      <c r="K25" s="6">
        <v>9.4</v>
      </c>
      <c r="L25" s="6">
        <v>1.1000000000000001</v>
      </c>
      <c r="M25" s="6">
        <v>6.5</v>
      </c>
      <c r="N25" s="6">
        <v>2.8</v>
      </c>
      <c r="O25" s="6">
        <v>2.4</v>
      </c>
      <c r="P25" s="25">
        <f t="shared" si="0"/>
        <v>8.1713015999999982E-3</v>
      </c>
      <c r="Q25" s="26">
        <f>P25*10000</f>
        <v>81.713015999999982</v>
      </c>
      <c r="R25" s="1">
        <f>9/400</f>
        <v>2.2499999999999999E-2</v>
      </c>
      <c r="S25" s="1">
        <f>9/0.04</f>
        <v>225</v>
      </c>
      <c r="T25" s="7">
        <f>(S25/1150)*100</f>
        <v>19.565217391304348</v>
      </c>
      <c r="U25" s="7">
        <f>(9/46)*100</f>
        <v>19.565217391304348</v>
      </c>
      <c r="V25" s="6">
        <f>(P25/SUM(P25:P26))*100</f>
        <v>46.096404577917056</v>
      </c>
      <c r="W25" s="6">
        <f t="shared" si="4"/>
        <v>85.226839360525759</v>
      </c>
      <c r="X25" s="41">
        <f>(11.7726*9.5744186*115*2)/1000</f>
        <v>25.9246340943828</v>
      </c>
      <c r="Y25" s="7">
        <v>0</v>
      </c>
      <c r="Z25" s="6">
        <f>(3*100)/3</f>
        <v>100</v>
      </c>
      <c r="AA25" s="1">
        <v>0</v>
      </c>
      <c r="AB25" s="1">
        <v>0</v>
      </c>
      <c r="AC25" s="1" t="s">
        <v>32</v>
      </c>
    </row>
    <row r="26" spans="1:29" x14ac:dyDescent="0.25">
      <c r="A26" s="1">
        <v>6</v>
      </c>
      <c r="B26" s="1" t="s">
        <v>34</v>
      </c>
      <c r="C26" s="1" t="s">
        <v>35</v>
      </c>
      <c r="D26" s="1" t="s">
        <v>43</v>
      </c>
      <c r="E26" s="1" t="s">
        <v>35</v>
      </c>
      <c r="F26" s="1">
        <v>2022</v>
      </c>
      <c r="G26" s="4">
        <v>44880</v>
      </c>
      <c r="H26" s="1" t="s">
        <v>31</v>
      </c>
      <c r="I26" s="35">
        <v>11.03</v>
      </c>
      <c r="J26" s="6">
        <v>6.04</v>
      </c>
      <c r="K26" s="6">
        <v>9.6</v>
      </c>
      <c r="L26" s="6">
        <v>4.3</v>
      </c>
      <c r="M26" s="6">
        <v>5.4</v>
      </c>
      <c r="N26" s="6">
        <v>2.4</v>
      </c>
      <c r="O26" s="6">
        <v>3</v>
      </c>
      <c r="P26" s="25">
        <f t="shared" si="0"/>
        <v>9.5552470859999999E-3</v>
      </c>
      <c r="Q26" s="26">
        <f>P26*10000</f>
        <v>95.55247086</v>
      </c>
      <c r="R26" s="1">
        <f>37/400</f>
        <v>9.2499999999999999E-2</v>
      </c>
      <c r="S26" s="1">
        <f>37/0.04</f>
        <v>925</v>
      </c>
      <c r="T26" s="7">
        <f>(S26/1150)*100</f>
        <v>80.434782608695656</v>
      </c>
      <c r="U26" s="7">
        <f>(37/46)*100</f>
        <v>80.434782608695656</v>
      </c>
      <c r="V26" s="6">
        <f>(P26/SUM(P25:P26))*100</f>
        <v>53.903595422082951</v>
      </c>
      <c r="W26" s="6">
        <f t="shared" si="4"/>
        <v>214.77316063947427</v>
      </c>
      <c r="X26" s="42">
        <f>(12.05*0.0381967*76*2)/1000</f>
        <v>6.9961075720000016E-2</v>
      </c>
      <c r="Y26" s="7">
        <v>0</v>
      </c>
      <c r="Z26" s="6">
        <v>0</v>
      </c>
      <c r="AA26" s="1">
        <v>0</v>
      </c>
      <c r="AB26" s="1">
        <v>0</v>
      </c>
      <c r="AC26" s="1" t="s">
        <v>32</v>
      </c>
    </row>
    <row r="27" spans="1:29" ht="15.75" customHeight="1" x14ac:dyDescent="0.25">
      <c r="A27" s="3" t="s">
        <v>33</v>
      </c>
      <c r="B27" s="1" t="s">
        <v>34</v>
      </c>
      <c r="C27" s="1" t="s">
        <v>35</v>
      </c>
      <c r="D27" s="1" t="s">
        <v>44</v>
      </c>
      <c r="E27" s="1" t="s">
        <v>35</v>
      </c>
      <c r="F27" s="1">
        <v>2019</v>
      </c>
      <c r="G27" s="4">
        <v>43549</v>
      </c>
      <c r="H27" s="4" t="s">
        <v>30</v>
      </c>
      <c r="I27" s="31">
        <v>9.3699999999999992</v>
      </c>
      <c r="J27" s="31">
        <v>4.07</v>
      </c>
      <c r="K27" s="31">
        <v>10.050000000000001</v>
      </c>
      <c r="L27" s="33">
        <v>2.02</v>
      </c>
      <c r="M27" s="31">
        <v>5.43</v>
      </c>
      <c r="N27" s="31">
        <v>1.81</v>
      </c>
      <c r="O27" s="32">
        <v>2.2599999999999998</v>
      </c>
      <c r="P27" s="25">
        <f t="shared" si="0"/>
        <v>6.8955685259999983E-3</v>
      </c>
      <c r="Q27" s="26">
        <f>P27*1000</f>
        <v>6.8955685259999981</v>
      </c>
      <c r="R27" s="1">
        <f>41/400</f>
        <v>0.10249999999999999</v>
      </c>
      <c r="S27" s="1">
        <f>41/0.04</f>
        <v>1025</v>
      </c>
      <c r="T27" s="6">
        <f>(S27/2075)*100</f>
        <v>49.397590361445779</v>
      </c>
      <c r="U27" s="6">
        <f>(41/83)*100</f>
        <v>49.397590361445779</v>
      </c>
      <c r="V27" s="6">
        <f>(P27/SUM(P27:P29))*100</f>
        <v>36.647013768159795</v>
      </c>
      <c r="W27" s="6">
        <f t="shared" si="4"/>
        <v>135.44219449105134</v>
      </c>
      <c r="X27" s="46">
        <f>(9.1*9.69185*207.5*3)/1000</f>
        <v>54.901907287500009</v>
      </c>
      <c r="Y27" s="6">
        <f>(3*100)/44</f>
        <v>6.8181818181818183</v>
      </c>
      <c r="Z27" s="6">
        <f>(3*100)/44</f>
        <v>6.8181818181818183</v>
      </c>
      <c r="AA27" s="7">
        <v>0</v>
      </c>
      <c r="AB27" s="1">
        <v>0</v>
      </c>
      <c r="AC27" s="1" t="s">
        <v>32</v>
      </c>
    </row>
    <row r="28" spans="1:29" ht="15.75" customHeight="1" x14ac:dyDescent="0.25">
      <c r="A28" s="7">
        <v>7</v>
      </c>
      <c r="B28" s="1" t="s">
        <v>34</v>
      </c>
      <c r="C28" s="1" t="s">
        <v>35</v>
      </c>
      <c r="D28" s="1" t="s">
        <v>44</v>
      </c>
      <c r="E28" s="1" t="s">
        <v>35</v>
      </c>
      <c r="F28" s="1">
        <v>2019</v>
      </c>
      <c r="G28" s="4">
        <v>43549</v>
      </c>
      <c r="H28" s="4" t="s">
        <v>29</v>
      </c>
      <c r="I28" s="6">
        <v>10.76</v>
      </c>
      <c r="J28" s="26">
        <v>9.3000000000000007</v>
      </c>
      <c r="K28" s="6">
        <v>8.52</v>
      </c>
      <c r="L28" s="26">
        <v>3.72</v>
      </c>
      <c r="M28" s="6">
        <v>3.61</v>
      </c>
      <c r="N28" s="6">
        <v>1.9</v>
      </c>
      <c r="O28" s="6">
        <v>3.4</v>
      </c>
      <c r="P28" s="25">
        <f t="shared" si="0"/>
        <v>9.093172703999999E-3</v>
      </c>
      <c r="Q28" s="26">
        <f t="shared" ref="Q28:Q39" si="5">P28*1000</f>
        <v>9.0931727039999988</v>
      </c>
      <c r="R28" s="1">
        <f>27/400</f>
        <v>6.7500000000000004E-2</v>
      </c>
      <c r="S28" s="1">
        <f>27/0.04</f>
        <v>675</v>
      </c>
      <c r="T28" s="6">
        <f>(S28/2075)*100</f>
        <v>32.53012048192771</v>
      </c>
      <c r="U28" s="6">
        <f>(27/83)*100</f>
        <v>32.53012048192771</v>
      </c>
      <c r="V28" s="6">
        <f>(P28/SUM(P27:P29))*100</f>
        <v>48.326345249598759</v>
      </c>
      <c r="W28" s="6">
        <f t="shared" ref="W28:W55" si="6">T28+U28+V28</f>
        <v>113.38658621345418</v>
      </c>
      <c r="X28" s="48">
        <f>(9.1*0.0242296*207.5*3)/1000</f>
        <v>0.13725462659999998</v>
      </c>
      <c r="Y28" s="7">
        <v>0</v>
      </c>
      <c r="Z28" s="6">
        <f>(0*100)/27</f>
        <v>0</v>
      </c>
      <c r="AA28" s="5">
        <f>14/4</f>
        <v>3.5</v>
      </c>
      <c r="AB28" s="1">
        <f>AA28*10000</f>
        <v>35000</v>
      </c>
      <c r="AC28" s="1">
        <v>17</v>
      </c>
    </row>
    <row r="29" spans="1:29" ht="15.75" customHeight="1" x14ac:dyDescent="0.25">
      <c r="A29" s="7">
        <v>7</v>
      </c>
      <c r="B29" s="1" t="s">
        <v>34</v>
      </c>
      <c r="C29" s="1" t="s">
        <v>35</v>
      </c>
      <c r="D29" s="1" t="s">
        <v>44</v>
      </c>
      <c r="E29" s="1" t="s">
        <v>35</v>
      </c>
      <c r="F29" s="1">
        <v>2019</v>
      </c>
      <c r="G29" s="4">
        <v>43549</v>
      </c>
      <c r="H29" s="4" t="s">
        <v>31</v>
      </c>
      <c r="I29" s="7">
        <v>6</v>
      </c>
      <c r="J29" s="26">
        <v>2.21</v>
      </c>
      <c r="K29" s="6">
        <v>7.5</v>
      </c>
      <c r="L29" s="26">
        <v>2.52</v>
      </c>
      <c r="M29" s="6">
        <v>3.66</v>
      </c>
      <c r="N29" s="6">
        <v>1.79</v>
      </c>
      <c r="O29" s="6">
        <v>3.29</v>
      </c>
      <c r="P29" s="25">
        <f>3.1416/4*((I29/100)^2)</f>
        <v>2.8274400000000001E-3</v>
      </c>
      <c r="Q29" s="26">
        <f t="shared" si="5"/>
        <v>2.8274400000000002</v>
      </c>
      <c r="R29" s="8">
        <f>15/400</f>
        <v>3.7499999999999999E-2</v>
      </c>
      <c r="S29" s="1">
        <f>15/0.04</f>
        <v>375</v>
      </c>
      <c r="T29" s="6">
        <f>(S29/2075)*100</f>
        <v>18.072289156626507</v>
      </c>
      <c r="U29" s="6">
        <f>(15/83)*100</f>
        <v>18.072289156626507</v>
      </c>
      <c r="V29" s="7">
        <f>(P29/SUM(P27:P29))*100</f>
        <v>15.026640982241432</v>
      </c>
      <c r="W29" s="6">
        <f t="shared" si="6"/>
        <v>51.171219295494446</v>
      </c>
      <c r="X29" s="48">
        <f>(9.1*0.0242296*207.5*3)/1000</f>
        <v>0.13725462659999998</v>
      </c>
      <c r="Y29" s="7">
        <v>0</v>
      </c>
      <c r="Z29" s="6">
        <f>(0*100)/15</f>
        <v>0</v>
      </c>
      <c r="AA29" s="1">
        <v>0</v>
      </c>
      <c r="AB29" s="1">
        <f t="shared" ref="AB29:AB55" si="7">AA29*10000</f>
        <v>0</v>
      </c>
      <c r="AC29" s="1" t="s">
        <v>32</v>
      </c>
    </row>
    <row r="30" spans="1:29" ht="15.75" customHeight="1" x14ac:dyDescent="0.25">
      <c r="A30" s="3" t="s">
        <v>33</v>
      </c>
      <c r="B30" s="1" t="s">
        <v>34</v>
      </c>
      <c r="C30" s="1" t="s">
        <v>35</v>
      </c>
      <c r="D30" s="1" t="s">
        <v>44</v>
      </c>
      <c r="E30" s="1" t="s">
        <v>35</v>
      </c>
      <c r="F30" s="1">
        <v>2022</v>
      </c>
      <c r="G30" s="4">
        <v>44879</v>
      </c>
      <c r="H30" s="4" t="s">
        <v>30</v>
      </c>
      <c r="I30" s="7">
        <v>10.199999999999999</v>
      </c>
      <c r="J30" s="26">
        <v>4.7</v>
      </c>
      <c r="K30" s="6">
        <v>6.1</v>
      </c>
      <c r="L30" s="26">
        <v>3</v>
      </c>
      <c r="M30" s="6">
        <v>4.0999999999999996</v>
      </c>
      <c r="N30" s="6">
        <v>1.8</v>
      </c>
      <c r="O30" s="6">
        <v>2.2000000000000002</v>
      </c>
      <c r="P30" s="25">
        <f>3.1416/4*((I30/100)^2)</f>
        <v>8.1713015999999982E-3</v>
      </c>
      <c r="Q30" s="26">
        <f t="shared" si="5"/>
        <v>8.1713015999999978</v>
      </c>
      <c r="R30" s="8">
        <f>43/400</f>
        <v>0.1075</v>
      </c>
      <c r="S30" s="1">
        <f>43/0.04</f>
        <v>1075</v>
      </c>
      <c r="T30" s="6">
        <f>(S30/1875)*100</f>
        <v>57.333333333333336</v>
      </c>
      <c r="U30" s="6">
        <f>(43/75)*100</f>
        <v>57.333333333333336</v>
      </c>
      <c r="V30" s="7">
        <f>(P30/SUM(P30:P33))*100</f>
        <v>31.262958622554759</v>
      </c>
      <c r="W30" s="6">
        <f t="shared" si="6"/>
        <v>145.92962528922143</v>
      </c>
      <c r="X30" s="43">
        <f>(11.115421*5.61066667*187.5*3)/1000</f>
        <v>35.080268696841408</v>
      </c>
      <c r="Y30" s="7">
        <v>0</v>
      </c>
      <c r="Z30" s="6">
        <f>(8*100)/14</f>
        <v>57.142857142857146</v>
      </c>
      <c r="AA30" s="1">
        <v>0</v>
      </c>
      <c r="AB30" s="1">
        <v>0</v>
      </c>
      <c r="AC30" s="1" t="s">
        <v>32</v>
      </c>
    </row>
    <row r="31" spans="1:29" ht="15.75" customHeight="1" x14ac:dyDescent="0.25">
      <c r="A31" s="7">
        <v>7</v>
      </c>
      <c r="B31" s="1" t="s">
        <v>34</v>
      </c>
      <c r="C31" s="1" t="s">
        <v>35</v>
      </c>
      <c r="D31" s="1" t="s">
        <v>44</v>
      </c>
      <c r="E31" s="1" t="s">
        <v>35</v>
      </c>
      <c r="F31" s="1">
        <v>2022</v>
      </c>
      <c r="G31" s="4">
        <v>44879</v>
      </c>
      <c r="H31" s="4" t="s">
        <v>29</v>
      </c>
      <c r="I31" s="7">
        <v>12.7</v>
      </c>
      <c r="J31" s="26">
        <v>8.8000000000000007</v>
      </c>
      <c r="K31" s="6">
        <v>5.6</v>
      </c>
      <c r="L31" s="26">
        <v>3.2</v>
      </c>
      <c r="M31" s="6">
        <v>2.9</v>
      </c>
      <c r="N31" s="6">
        <v>1.7</v>
      </c>
      <c r="O31" s="6">
        <v>2.6</v>
      </c>
      <c r="P31" s="25">
        <f>3.1416/4*((I31/100)^2)</f>
        <v>1.26677166E-2</v>
      </c>
      <c r="Q31" s="26">
        <f t="shared" si="5"/>
        <v>12.6677166</v>
      </c>
      <c r="R31" s="8">
        <f>20/400</f>
        <v>0.05</v>
      </c>
      <c r="S31" s="1">
        <f>20/0.04</f>
        <v>500</v>
      </c>
      <c r="T31" s="6">
        <f>(S31/1875)*100</f>
        <v>26.666666666666668</v>
      </c>
      <c r="U31" s="6">
        <f>(20/75)*100</f>
        <v>26.666666666666668</v>
      </c>
      <c r="V31" s="7">
        <f>(P31/SUM(P30:P33))*100</f>
        <v>48.465999579314293</v>
      </c>
      <c r="W31" s="6">
        <f t="shared" si="6"/>
        <v>101.79933291264763</v>
      </c>
      <c r="X31" s="44"/>
      <c r="Y31" s="7">
        <v>0</v>
      </c>
      <c r="Z31" s="6">
        <f>(2*100)/14</f>
        <v>14.285714285714286</v>
      </c>
      <c r="AA31" s="1">
        <v>0</v>
      </c>
      <c r="AB31" s="1">
        <v>0</v>
      </c>
      <c r="AC31" s="1" t="s">
        <v>32</v>
      </c>
    </row>
    <row r="32" spans="1:29" ht="15.75" customHeight="1" x14ac:dyDescent="0.25">
      <c r="A32" s="7">
        <v>7</v>
      </c>
      <c r="B32" s="1" t="s">
        <v>34</v>
      </c>
      <c r="C32" s="1" t="s">
        <v>35</v>
      </c>
      <c r="D32" s="1" t="s">
        <v>44</v>
      </c>
      <c r="E32" s="1" t="s">
        <v>35</v>
      </c>
      <c r="F32" s="1">
        <v>2022</v>
      </c>
      <c r="G32" s="4">
        <v>44879</v>
      </c>
      <c r="H32" s="4" t="s">
        <v>31</v>
      </c>
      <c r="I32" s="7">
        <v>6.1</v>
      </c>
      <c r="J32" s="26">
        <v>2.2000000000000002</v>
      </c>
      <c r="K32" s="6">
        <v>3.8</v>
      </c>
      <c r="L32" s="26">
        <v>1.1000000000000001</v>
      </c>
      <c r="M32" s="6">
        <v>2.2999999999999998</v>
      </c>
      <c r="N32" s="6">
        <v>1</v>
      </c>
      <c r="O32" s="6">
        <v>2</v>
      </c>
      <c r="P32" s="25">
        <f>3.1416/4*((I32/100)^2)</f>
        <v>2.9224733999999998E-3</v>
      </c>
      <c r="Q32" s="26">
        <f t="shared" si="5"/>
        <v>2.9224733999999999</v>
      </c>
      <c r="R32" s="8">
        <f>11/400</f>
        <v>2.75E-2</v>
      </c>
      <c r="S32" s="1">
        <f>11/0.04</f>
        <v>275</v>
      </c>
      <c r="T32" s="6">
        <f>(S32/1875)*100</f>
        <v>14.666666666666666</v>
      </c>
      <c r="U32" s="6">
        <f>(11/75)*100</f>
        <v>14.666666666666666</v>
      </c>
      <c r="V32" s="7">
        <f>(P32/SUM(P30:P33))*100</f>
        <v>11.181225397397759</v>
      </c>
      <c r="W32" s="6">
        <f t="shared" si="6"/>
        <v>40.514558730731089</v>
      </c>
      <c r="X32" s="44"/>
      <c r="Y32" s="7">
        <v>0</v>
      </c>
      <c r="Z32" s="6">
        <f>(3*100)/14</f>
        <v>21.428571428571427</v>
      </c>
      <c r="AA32" s="1">
        <v>0</v>
      </c>
      <c r="AB32" s="1">
        <v>0</v>
      </c>
      <c r="AC32" s="1" t="s">
        <v>32</v>
      </c>
    </row>
    <row r="33" spans="1:29" ht="15.75" customHeight="1" x14ac:dyDescent="0.25">
      <c r="A33" s="7">
        <v>7</v>
      </c>
      <c r="B33" s="1" t="s">
        <v>34</v>
      </c>
      <c r="C33" s="1" t="s">
        <v>35</v>
      </c>
      <c r="D33" s="1" t="s">
        <v>44</v>
      </c>
      <c r="E33" s="1" t="s">
        <v>35</v>
      </c>
      <c r="F33" s="1">
        <v>2022</v>
      </c>
      <c r="G33" s="4">
        <v>44879</v>
      </c>
      <c r="H33" s="4" t="s">
        <v>50</v>
      </c>
      <c r="I33" s="7">
        <v>5.5</v>
      </c>
      <c r="J33" s="26" t="s">
        <v>32</v>
      </c>
      <c r="K33" s="6">
        <v>5</v>
      </c>
      <c r="L33" s="26" t="s">
        <v>32</v>
      </c>
      <c r="M33" s="6">
        <v>2</v>
      </c>
      <c r="N33" s="6" t="s">
        <v>32</v>
      </c>
      <c r="O33" s="6" t="s">
        <v>32</v>
      </c>
      <c r="P33" s="25">
        <f>3.1416/4*((I33/100)^2)</f>
        <v>2.3758349999999998E-3</v>
      </c>
      <c r="Q33" s="26">
        <f t="shared" si="5"/>
        <v>2.3758349999999999</v>
      </c>
      <c r="R33" s="8">
        <f>1/400</f>
        <v>2.5000000000000001E-3</v>
      </c>
      <c r="S33" s="1">
        <f>1/0.04</f>
        <v>25</v>
      </c>
      <c r="T33" s="6">
        <f>(S33/1875)*100</f>
        <v>1.3333333333333335</v>
      </c>
      <c r="U33" s="6">
        <f>(1/75)*100</f>
        <v>1.3333333333333335</v>
      </c>
      <c r="V33" s="7">
        <f>(P33/SUM(P30:P33))*100</f>
        <v>9.089816400733195</v>
      </c>
      <c r="W33" s="6">
        <f t="shared" si="6"/>
        <v>11.756483067399863</v>
      </c>
      <c r="X33" s="44"/>
      <c r="Y33" s="7">
        <v>0</v>
      </c>
      <c r="Z33" s="6">
        <f>(1*100)/14</f>
        <v>7.1428571428571432</v>
      </c>
      <c r="AA33" s="1">
        <v>0</v>
      </c>
      <c r="AB33" s="1">
        <v>0</v>
      </c>
      <c r="AC33" s="1" t="s">
        <v>32</v>
      </c>
    </row>
    <row r="34" spans="1:29" ht="15.75" customHeight="1" x14ac:dyDescent="0.25">
      <c r="A34" s="7">
        <v>8</v>
      </c>
      <c r="B34" s="1" t="s">
        <v>34</v>
      </c>
      <c r="C34" s="1" t="s">
        <v>35</v>
      </c>
      <c r="D34" s="1" t="s">
        <v>38</v>
      </c>
      <c r="E34" s="1" t="s">
        <v>35</v>
      </c>
      <c r="F34" s="1">
        <v>2019</v>
      </c>
      <c r="G34" s="4">
        <v>43550</v>
      </c>
      <c r="H34" s="4" t="s">
        <v>30</v>
      </c>
      <c r="I34" s="34">
        <v>6.65</v>
      </c>
      <c r="J34" s="34">
        <v>4.29</v>
      </c>
      <c r="K34" s="34">
        <v>6.14</v>
      </c>
      <c r="L34" s="34">
        <v>2.59</v>
      </c>
      <c r="M34" s="34">
        <v>2.73</v>
      </c>
      <c r="N34" s="34">
        <v>1.48</v>
      </c>
      <c r="O34" s="34">
        <v>2.12</v>
      </c>
      <c r="P34" s="25">
        <f t="shared" si="0"/>
        <v>3.4732351500000006E-3</v>
      </c>
      <c r="Q34" s="26">
        <f t="shared" si="5"/>
        <v>3.4732351500000007</v>
      </c>
      <c r="R34" s="1">
        <f>39/400</f>
        <v>9.7500000000000003E-2</v>
      </c>
      <c r="S34" s="1">
        <f>39/0.04</f>
        <v>975</v>
      </c>
      <c r="T34" s="7">
        <f>(S34/2075)*100</f>
        <v>46.987951807228917</v>
      </c>
      <c r="U34" s="7">
        <f>(39/83)*100</f>
        <v>46.987951807228917</v>
      </c>
      <c r="V34" s="6">
        <f>(P34/SUM(P34:P36))*100</f>
        <v>26.780918190797507</v>
      </c>
      <c r="W34" s="6">
        <f t="shared" si="6"/>
        <v>120.75682180525534</v>
      </c>
      <c r="X34" s="41">
        <f>(6.39*8.817*207.5*3)/1000</f>
        <v>35.072042175</v>
      </c>
      <c r="Y34" s="6">
        <f>(9*100)/48</f>
        <v>18.75</v>
      </c>
      <c r="Z34" s="6">
        <f>(3*100)/42</f>
        <v>7.1428571428571432</v>
      </c>
      <c r="AA34" s="6">
        <f>5/4</f>
        <v>1.25</v>
      </c>
      <c r="AB34" s="1">
        <f t="shared" si="7"/>
        <v>12500</v>
      </c>
      <c r="AC34" s="1">
        <v>10</v>
      </c>
    </row>
    <row r="35" spans="1:29" ht="15.75" customHeight="1" x14ac:dyDescent="0.25">
      <c r="A35" s="7">
        <v>8</v>
      </c>
      <c r="B35" s="1" t="s">
        <v>34</v>
      </c>
      <c r="C35" s="1" t="s">
        <v>35</v>
      </c>
      <c r="D35" s="1" t="s">
        <v>38</v>
      </c>
      <c r="E35" s="1" t="s">
        <v>35</v>
      </c>
      <c r="F35" s="1">
        <v>2019</v>
      </c>
      <c r="G35" s="4">
        <v>43550</v>
      </c>
      <c r="H35" s="4" t="s">
        <v>29</v>
      </c>
      <c r="I35" s="34">
        <v>10.119999999999999</v>
      </c>
      <c r="J35" s="34">
        <v>8.59</v>
      </c>
      <c r="K35" s="34">
        <v>6.8</v>
      </c>
      <c r="L35" s="34">
        <v>2.67</v>
      </c>
      <c r="M35" s="34">
        <v>2.5099999999999998</v>
      </c>
      <c r="N35" s="34">
        <v>0.9</v>
      </c>
      <c r="O35" s="34">
        <v>3.53</v>
      </c>
      <c r="P35" s="28">
        <f t="shared" si="0"/>
        <v>8.0436269759999995E-3</v>
      </c>
      <c r="Q35" s="26">
        <f t="shared" si="5"/>
        <v>8.0436269759999988</v>
      </c>
      <c r="R35" s="1">
        <f>39/400</f>
        <v>9.7500000000000003E-2</v>
      </c>
      <c r="S35" s="1">
        <f>39/0.04</f>
        <v>975</v>
      </c>
      <c r="T35" s="7">
        <f t="shared" ref="T35:T36" si="8">(S35/2075)*100</f>
        <v>46.987951807228917</v>
      </c>
      <c r="U35" s="7">
        <f>(39/83)*100</f>
        <v>46.987951807228917</v>
      </c>
      <c r="V35" s="7">
        <f>(P35/SUM(P34:P36))*100</f>
        <v>62.021633059180544</v>
      </c>
      <c r="W35" s="7">
        <f t="shared" si="6"/>
        <v>155.99753667363836</v>
      </c>
      <c r="X35" s="45">
        <f>(6.39*0.0220425*207.5*3)/1000</f>
        <v>8.7680105437499989E-2</v>
      </c>
      <c r="Y35" s="6">
        <f>(3*100)/42</f>
        <v>7.1428571428571432</v>
      </c>
      <c r="Z35" s="6">
        <f>(1*100)/40</f>
        <v>2.5</v>
      </c>
      <c r="AA35" s="1">
        <f>2/4</f>
        <v>0.5</v>
      </c>
      <c r="AB35" s="1">
        <f t="shared" si="7"/>
        <v>5000</v>
      </c>
      <c r="AC35" s="1">
        <v>13</v>
      </c>
    </row>
    <row r="36" spans="1:29" ht="15.75" customHeight="1" x14ac:dyDescent="0.25">
      <c r="A36" s="7">
        <v>8</v>
      </c>
      <c r="B36" s="1" t="s">
        <v>34</v>
      </c>
      <c r="C36" s="1" t="s">
        <v>35</v>
      </c>
      <c r="D36" s="1" t="s">
        <v>38</v>
      </c>
      <c r="E36" s="1" t="s">
        <v>35</v>
      </c>
      <c r="F36" s="1">
        <v>2019</v>
      </c>
      <c r="G36" s="4">
        <v>43550</v>
      </c>
      <c r="H36" s="4" t="s">
        <v>31</v>
      </c>
      <c r="I36" s="34">
        <v>4.3</v>
      </c>
      <c r="J36" s="35">
        <v>1.23</v>
      </c>
      <c r="K36" s="34">
        <v>5.2</v>
      </c>
      <c r="L36" s="35">
        <v>2.11</v>
      </c>
      <c r="M36" s="34">
        <v>1.49</v>
      </c>
      <c r="N36" s="36">
        <v>1.99</v>
      </c>
      <c r="O36" s="37">
        <v>2.98</v>
      </c>
      <c r="P36" s="25">
        <f t="shared" si="0"/>
        <v>1.4522045999999997E-3</v>
      </c>
      <c r="Q36" s="26">
        <f t="shared" si="5"/>
        <v>1.4522045999999997</v>
      </c>
      <c r="R36" s="1">
        <f>5/400</f>
        <v>1.2500000000000001E-2</v>
      </c>
      <c r="S36" s="1">
        <f>5/0.04</f>
        <v>125</v>
      </c>
      <c r="T36" s="7">
        <f t="shared" si="8"/>
        <v>6.024096385542169</v>
      </c>
      <c r="U36" s="7">
        <f>(5/83)*100</f>
        <v>6.024096385542169</v>
      </c>
      <c r="V36" s="6">
        <f>(P36/SUM(P34:P36))*100</f>
        <v>11.197448750021952</v>
      </c>
      <c r="W36" s="6">
        <f t="shared" si="6"/>
        <v>23.24564152110629</v>
      </c>
      <c r="X36" s="45">
        <f>(6.39*0.0220425*207.5*3)/1000</f>
        <v>8.7680105437499989E-2</v>
      </c>
      <c r="Y36" s="7">
        <v>0</v>
      </c>
      <c r="Z36" s="7">
        <v>0</v>
      </c>
      <c r="AA36" s="1">
        <v>0</v>
      </c>
      <c r="AB36" s="1">
        <f t="shared" si="7"/>
        <v>0</v>
      </c>
      <c r="AC36" s="1" t="s">
        <v>32</v>
      </c>
    </row>
    <row r="37" spans="1:29" ht="15.75" customHeight="1" x14ac:dyDescent="0.25">
      <c r="A37" s="7">
        <v>8</v>
      </c>
      <c r="B37" s="1" t="s">
        <v>34</v>
      </c>
      <c r="C37" s="1" t="s">
        <v>35</v>
      </c>
      <c r="D37" s="1" t="s">
        <v>38</v>
      </c>
      <c r="E37" s="1" t="s">
        <v>35</v>
      </c>
      <c r="F37" s="1">
        <v>2022</v>
      </c>
      <c r="G37" s="4">
        <v>44879</v>
      </c>
      <c r="H37" s="4" t="s">
        <v>30</v>
      </c>
      <c r="I37" s="34">
        <v>7.9</v>
      </c>
      <c r="J37" s="35">
        <v>5</v>
      </c>
      <c r="K37" s="34">
        <v>5.8</v>
      </c>
      <c r="L37" s="35">
        <v>3</v>
      </c>
      <c r="M37" s="34">
        <v>2.5</v>
      </c>
      <c r="N37" s="36">
        <v>1.5</v>
      </c>
      <c r="O37" s="37">
        <v>2.6</v>
      </c>
      <c r="P37" s="25">
        <f t="shared" si="0"/>
        <v>4.9016813999999999E-3</v>
      </c>
      <c r="Q37" s="26">
        <f t="shared" si="5"/>
        <v>4.9016814000000002</v>
      </c>
      <c r="R37" s="1">
        <f>26/400</f>
        <v>6.5000000000000002E-2</v>
      </c>
      <c r="S37" s="1">
        <f>26/0.04</f>
        <v>650</v>
      </c>
      <c r="T37" s="7">
        <f>(S37/1725)*100</f>
        <v>37.681159420289859</v>
      </c>
      <c r="U37" s="7">
        <f>(26/69)*100</f>
        <v>37.681159420289859</v>
      </c>
      <c r="V37" s="6">
        <f>(P37/SUM(P37:P39))*100</f>
        <v>31.250312953782995</v>
      </c>
      <c r="W37" s="6">
        <f t="shared" si="6"/>
        <v>106.61263179436271</v>
      </c>
      <c r="X37" s="41">
        <f>(10.417773*5.80147059*172.5*3)/1000</f>
        <v>31.276873900671962</v>
      </c>
      <c r="Y37" s="7">
        <v>0</v>
      </c>
      <c r="Z37" s="7">
        <f>(2*100)/4</f>
        <v>50</v>
      </c>
      <c r="AA37" s="1">
        <v>0</v>
      </c>
      <c r="AB37" s="1">
        <v>0</v>
      </c>
      <c r="AC37" s="1" t="s">
        <v>32</v>
      </c>
    </row>
    <row r="38" spans="1:29" ht="15.75" customHeight="1" x14ac:dyDescent="0.25">
      <c r="A38" s="7">
        <v>8</v>
      </c>
      <c r="B38" s="1" t="s">
        <v>34</v>
      </c>
      <c r="C38" s="1" t="s">
        <v>35</v>
      </c>
      <c r="D38" s="1" t="s">
        <v>38</v>
      </c>
      <c r="E38" s="1" t="s">
        <v>35</v>
      </c>
      <c r="F38" s="1">
        <v>2022</v>
      </c>
      <c r="G38" s="4">
        <v>44879</v>
      </c>
      <c r="H38" s="4" t="s">
        <v>29</v>
      </c>
      <c r="I38" s="34">
        <v>10.9</v>
      </c>
      <c r="J38" s="35">
        <v>8</v>
      </c>
      <c r="K38" s="34">
        <v>6</v>
      </c>
      <c r="L38" s="35">
        <v>2.2000000000000002</v>
      </c>
      <c r="M38" s="34">
        <v>2.4</v>
      </c>
      <c r="N38" s="36">
        <v>1.4</v>
      </c>
      <c r="O38" s="37">
        <v>2.7</v>
      </c>
      <c r="P38" s="25">
        <f t="shared" si="0"/>
        <v>9.3313373999999987E-3</v>
      </c>
      <c r="Q38" s="26">
        <f t="shared" si="5"/>
        <v>9.3313373999999989</v>
      </c>
      <c r="R38" s="1">
        <f>37/400</f>
        <v>9.2499999999999999E-2</v>
      </c>
      <c r="S38" s="1">
        <f>37/0.04</f>
        <v>925</v>
      </c>
      <c r="T38" s="7">
        <f>(S38/1725)*100</f>
        <v>53.623188405797109</v>
      </c>
      <c r="U38" s="7">
        <f>(37/69)*100</f>
        <v>53.623188405797109</v>
      </c>
      <c r="V38" s="6">
        <f>(P38/SUM(P37:P39))*100</f>
        <v>59.491262330379058</v>
      </c>
      <c r="W38" s="6">
        <f t="shared" si="6"/>
        <v>166.73763914197326</v>
      </c>
      <c r="X38" s="42">
        <f>(6.39*0.0220425*207.5*3)/1000</f>
        <v>8.7680105437499989E-2</v>
      </c>
      <c r="Y38" s="7">
        <v>0</v>
      </c>
      <c r="Z38" s="7">
        <f>(2*100)/4</f>
        <v>50</v>
      </c>
      <c r="AA38" s="1">
        <v>0</v>
      </c>
      <c r="AB38" s="1">
        <v>0</v>
      </c>
      <c r="AC38" s="1" t="s">
        <v>32</v>
      </c>
    </row>
    <row r="39" spans="1:29" ht="15.75" customHeight="1" x14ac:dyDescent="0.25">
      <c r="A39" s="7">
        <v>8</v>
      </c>
      <c r="B39" s="1" t="s">
        <v>34</v>
      </c>
      <c r="C39" s="1" t="s">
        <v>35</v>
      </c>
      <c r="D39" s="1" t="s">
        <v>38</v>
      </c>
      <c r="E39" s="1" t="s">
        <v>35</v>
      </c>
      <c r="F39" s="1">
        <v>2022</v>
      </c>
      <c r="G39" s="4">
        <v>44879</v>
      </c>
      <c r="H39" s="4" t="s">
        <v>31</v>
      </c>
      <c r="I39" s="34">
        <v>4.3</v>
      </c>
      <c r="J39" s="35">
        <v>1.3</v>
      </c>
      <c r="K39" s="34">
        <v>4.5999999999999996</v>
      </c>
      <c r="L39" s="35">
        <v>1.9</v>
      </c>
      <c r="M39" s="34">
        <v>1.4</v>
      </c>
      <c r="N39" s="36">
        <v>0.62</v>
      </c>
      <c r="O39" s="37">
        <v>2.8</v>
      </c>
      <c r="P39" s="25">
        <f t="shared" si="0"/>
        <v>1.4522045999999997E-3</v>
      </c>
      <c r="Q39" s="26">
        <f t="shared" si="5"/>
        <v>1.4522045999999997</v>
      </c>
      <c r="R39" s="1">
        <f>6/400</f>
        <v>1.4999999999999999E-2</v>
      </c>
      <c r="S39" s="1">
        <f>6/0.04</f>
        <v>150</v>
      </c>
      <c r="T39" s="7">
        <f>(S39/1725)*100</f>
        <v>8.695652173913043</v>
      </c>
      <c r="U39" s="7">
        <f>(6/69)*100</f>
        <v>8.695652173913043</v>
      </c>
      <c r="V39" s="6">
        <f>(P39/SUM(P37:P39))*100</f>
        <v>9.2584247158379647</v>
      </c>
      <c r="W39" s="6">
        <f t="shared" si="6"/>
        <v>26.649729063664051</v>
      </c>
      <c r="X39" s="42">
        <f>(6.39*0.0220425*207.5*3)/1000</f>
        <v>8.7680105437499989E-2</v>
      </c>
      <c r="Y39" s="7">
        <v>0</v>
      </c>
      <c r="Z39" s="7">
        <f>(0*100)/4</f>
        <v>0</v>
      </c>
      <c r="AA39" s="1">
        <v>0</v>
      </c>
      <c r="AB39" s="1">
        <v>0</v>
      </c>
      <c r="AC39" s="1" t="s">
        <v>32</v>
      </c>
    </row>
    <row r="40" spans="1:29" ht="15.75" customHeight="1" x14ac:dyDescent="0.25">
      <c r="A40" s="7">
        <v>9</v>
      </c>
      <c r="B40" s="1" t="s">
        <v>34</v>
      </c>
      <c r="C40" s="1" t="s">
        <v>35</v>
      </c>
      <c r="D40" s="1" t="s">
        <v>46</v>
      </c>
      <c r="E40" s="1" t="s">
        <v>35</v>
      </c>
      <c r="F40" s="1">
        <v>2019</v>
      </c>
      <c r="G40" s="4">
        <v>43601</v>
      </c>
      <c r="H40" s="4" t="s">
        <v>30</v>
      </c>
      <c r="I40" s="37">
        <v>5.98</v>
      </c>
      <c r="J40" s="37">
        <v>1.97</v>
      </c>
      <c r="K40" s="34">
        <v>8.73</v>
      </c>
      <c r="L40" s="35">
        <v>1.62</v>
      </c>
      <c r="M40" s="34">
        <v>3.8</v>
      </c>
      <c r="N40" s="35">
        <v>1.59</v>
      </c>
      <c r="O40" s="37">
        <v>1.99</v>
      </c>
      <c r="P40" s="25">
        <f t="shared" si="0"/>
        <v>2.8086218160000005E-3</v>
      </c>
      <c r="Q40" s="26">
        <f t="shared" si="3"/>
        <v>28.086218160000005</v>
      </c>
      <c r="R40" s="1">
        <f>32/400</f>
        <v>0.08</v>
      </c>
      <c r="S40" s="1">
        <f>32/0.04</f>
        <v>800</v>
      </c>
      <c r="T40" s="7">
        <f>(S40/2100)*100</f>
        <v>38.095238095238095</v>
      </c>
      <c r="U40" s="7">
        <f>(32/84)*100</f>
        <v>38.095238095238095</v>
      </c>
      <c r="V40" s="6">
        <f>(P40/SUM(P40:P42))*100</f>
        <v>22.138495292526986</v>
      </c>
      <c r="W40" s="6">
        <f>T40+U40+V40</f>
        <v>98.328971483003173</v>
      </c>
      <c r="X40" s="41">
        <f>(8.98*4.67*210*3)/1000</f>
        <v>26.420057999999997</v>
      </c>
      <c r="Y40" s="7">
        <v>0</v>
      </c>
      <c r="Z40" s="6">
        <f>(2*100)/34</f>
        <v>5.882352941176471</v>
      </c>
      <c r="AA40" s="1">
        <v>0</v>
      </c>
      <c r="AB40" s="1">
        <f t="shared" si="7"/>
        <v>0</v>
      </c>
      <c r="AC40" s="1" t="s">
        <v>32</v>
      </c>
    </row>
    <row r="41" spans="1:29" ht="15.75" customHeight="1" x14ac:dyDescent="0.25">
      <c r="A41" s="7">
        <v>9</v>
      </c>
      <c r="B41" s="1" t="s">
        <v>34</v>
      </c>
      <c r="C41" s="1" t="s">
        <v>35</v>
      </c>
      <c r="D41" s="1" t="s">
        <v>46</v>
      </c>
      <c r="E41" s="1" t="s">
        <v>35</v>
      </c>
      <c r="F41" s="1">
        <v>2019</v>
      </c>
      <c r="G41" s="4">
        <v>43601</v>
      </c>
      <c r="H41" s="4" t="s">
        <v>29</v>
      </c>
      <c r="I41" s="6">
        <v>7.94</v>
      </c>
      <c r="J41" s="35">
        <v>3.66</v>
      </c>
      <c r="K41" s="34">
        <v>8.41</v>
      </c>
      <c r="L41" s="36">
        <v>3.01</v>
      </c>
      <c r="M41" s="34">
        <v>2.81</v>
      </c>
      <c r="N41" s="35">
        <v>0.8</v>
      </c>
      <c r="O41" s="34">
        <v>2.75</v>
      </c>
      <c r="P41" s="25">
        <f t="shared" si="0"/>
        <v>4.9514443439999997E-3</v>
      </c>
      <c r="Q41" s="26">
        <f>P41*10000</f>
        <v>49.514443439999994</v>
      </c>
      <c r="R41" s="1">
        <f>27/400</f>
        <v>6.7500000000000004E-2</v>
      </c>
      <c r="S41" s="1">
        <f>27/0.04</f>
        <v>675</v>
      </c>
      <c r="T41" s="7">
        <f>(S41/2100)*100</f>
        <v>32.142857142857146</v>
      </c>
      <c r="U41" s="7">
        <f>(27/84)*100</f>
        <v>32.142857142857146</v>
      </c>
      <c r="V41" s="7">
        <f>(P41/SUM(P40:P42))*100</f>
        <v>39.028938206059053</v>
      </c>
      <c r="W41" s="6">
        <f t="shared" si="6"/>
        <v>103.31465249177334</v>
      </c>
      <c r="X41" s="45">
        <f>(8.98*0.011675*210*3)/1000</f>
        <v>6.6050145000000005E-2</v>
      </c>
      <c r="Y41" s="7">
        <v>0</v>
      </c>
      <c r="Z41" s="6">
        <v>0</v>
      </c>
      <c r="AA41" s="1">
        <v>0</v>
      </c>
      <c r="AB41" s="1">
        <v>0</v>
      </c>
      <c r="AC41" s="1" t="s">
        <v>32</v>
      </c>
    </row>
    <row r="42" spans="1:29" ht="15.75" customHeight="1" x14ac:dyDescent="0.25">
      <c r="A42" s="7">
        <v>9</v>
      </c>
      <c r="B42" s="1" t="s">
        <v>34</v>
      </c>
      <c r="C42" s="1" t="s">
        <v>35</v>
      </c>
      <c r="D42" s="1" t="s">
        <v>46</v>
      </c>
      <c r="E42" s="1" t="s">
        <v>35</v>
      </c>
      <c r="F42" s="1">
        <v>2019</v>
      </c>
      <c r="G42" s="4">
        <v>43601</v>
      </c>
      <c r="H42" s="4" t="s">
        <v>31</v>
      </c>
      <c r="I42" s="34">
        <v>7.92</v>
      </c>
      <c r="J42" s="35">
        <v>2.16</v>
      </c>
      <c r="K42" s="34">
        <v>9.92</v>
      </c>
      <c r="L42" s="35">
        <v>1.61</v>
      </c>
      <c r="M42" s="34">
        <v>2.36</v>
      </c>
      <c r="N42" s="35">
        <v>2.57</v>
      </c>
      <c r="O42" s="34">
        <v>3.56</v>
      </c>
      <c r="P42" s="28">
        <f t="shared" si="0"/>
        <v>4.9265314559999987E-3</v>
      </c>
      <c r="Q42" s="26">
        <f t="shared" si="3"/>
        <v>49.265314559999986</v>
      </c>
      <c r="R42" s="1">
        <f>25/400</f>
        <v>6.25E-2</v>
      </c>
      <c r="S42" s="1">
        <f>25/0.04</f>
        <v>625</v>
      </c>
      <c r="T42" s="7">
        <f>(S42/2100)*100</f>
        <v>29.761904761904763</v>
      </c>
      <c r="U42" s="7">
        <f>(25/84)*100</f>
        <v>29.761904761904763</v>
      </c>
      <c r="V42" s="6">
        <f>(P42/SUM(P40:P42))*100</f>
        <v>38.832566501413964</v>
      </c>
      <c r="W42" s="6">
        <f t="shared" si="6"/>
        <v>98.356376025223483</v>
      </c>
      <c r="X42" s="45">
        <f>(8.98*0.011675*210*3)/1000</f>
        <v>6.6050145000000005E-2</v>
      </c>
      <c r="Y42" s="7">
        <v>0</v>
      </c>
      <c r="Z42" s="6">
        <v>0</v>
      </c>
      <c r="AA42" s="21">
        <f>13/4</f>
        <v>3.25</v>
      </c>
      <c r="AB42" s="1">
        <f t="shared" si="7"/>
        <v>32500</v>
      </c>
      <c r="AC42" s="1">
        <v>21</v>
      </c>
    </row>
    <row r="43" spans="1:29" ht="15.75" customHeight="1" x14ac:dyDescent="0.25">
      <c r="A43" s="7">
        <v>9</v>
      </c>
      <c r="B43" s="1" t="s">
        <v>34</v>
      </c>
      <c r="C43" s="1" t="s">
        <v>35</v>
      </c>
      <c r="D43" s="1" t="s">
        <v>46</v>
      </c>
      <c r="E43" s="1" t="s">
        <v>35</v>
      </c>
      <c r="F43" s="1">
        <v>2022</v>
      </c>
      <c r="G43" s="4">
        <v>44882</v>
      </c>
      <c r="H43" s="4" t="s">
        <v>30</v>
      </c>
      <c r="I43" s="34">
        <v>7.2</v>
      </c>
      <c r="J43" s="35">
        <v>1.8</v>
      </c>
      <c r="K43" s="34">
        <v>7.4</v>
      </c>
      <c r="L43" s="35">
        <v>3.2</v>
      </c>
      <c r="M43" s="34">
        <v>4.2</v>
      </c>
      <c r="N43" s="35">
        <v>2.4</v>
      </c>
      <c r="O43" s="34">
        <v>1.9</v>
      </c>
      <c r="P43" s="28">
        <f t="shared" si="0"/>
        <v>4.0715136000000008E-3</v>
      </c>
      <c r="Q43" s="26">
        <f t="shared" si="3"/>
        <v>40.715136000000008</v>
      </c>
      <c r="R43" s="1">
        <f>34/400</f>
        <v>8.5000000000000006E-2</v>
      </c>
      <c r="S43" s="1">
        <f>34/0.04</f>
        <v>850</v>
      </c>
      <c r="T43" s="7">
        <f>(S43/1975)*100</f>
        <v>43.037974683544306</v>
      </c>
      <c r="U43" s="7">
        <f>(34/79)*100</f>
        <v>43.037974683544306</v>
      </c>
      <c r="V43" s="6">
        <f>(P43/SUM(P43:P45))*100</f>
        <v>24.850198935813246</v>
      </c>
      <c r="W43" s="6">
        <f t="shared" si="6"/>
        <v>110.92614830290185</v>
      </c>
      <c r="X43" s="41">
        <f>(5.728091*7.49493671*197.5*3)/1000</f>
        <v>25.437020112116461</v>
      </c>
      <c r="Y43" s="7">
        <v>0</v>
      </c>
      <c r="Z43" s="6">
        <f>(7*100)/12</f>
        <v>58.333333333333336</v>
      </c>
      <c r="AA43" s="21">
        <v>0</v>
      </c>
      <c r="AB43" s="1">
        <v>0</v>
      </c>
      <c r="AC43" s="1">
        <v>0</v>
      </c>
    </row>
    <row r="44" spans="1:29" ht="15.75" customHeight="1" x14ac:dyDescent="0.25">
      <c r="A44" s="7">
        <v>9</v>
      </c>
      <c r="B44" s="1" t="s">
        <v>34</v>
      </c>
      <c r="C44" s="1" t="s">
        <v>35</v>
      </c>
      <c r="D44" s="1" t="s">
        <v>46</v>
      </c>
      <c r="E44" s="1" t="s">
        <v>35</v>
      </c>
      <c r="F44" s="1">
        <v>2022</v>
      </c>
      <c r="G44" s="4">
        <v>44882</v>
      </c>
      <c r="H44" s="4" t="s">
        <v>29</v>
      </c>
      <c r="I44" s="34">
        <v>8.6</v>
      </c>
      <c r="J44" s="35">
        <v>3.6</v>
      </c>
      <c r="K44" s="34">
        <v>7</v>
      </c>
      <c r="L44" s="35">
        <v>3.3</v>
      </c>
      <c r="M44" s="34">
        <v>3.1</v>
      </c>
      <c r="N44" s="35">
        <v>2</v>
      </c>
      <c r="O44" s="34">
        <v>2.7</v>
      </c>
      <c r="P44" s="28">
        <f t="shared" si="0"/>
        <v>5.8088183999999987E-3</v>
      </c>
      <c r="Q44" s="26">
        <f t="shared" si="3"/>
        <v>58.088183999999984</v>
      </c>
      <c r="R44" s="1">
        <f>28/400</f>
        <v>7.0000000000000007E-2</v>
      </c>
      <c r="S44" s="1">
        <f>28/0.04</f>
        <v>700</v>
      </c>
      <c r="T44" s="7">
        <f>(S44/1975)*100</f>
        <v>35.443037974683541</v>
      </c>
      <c r="U44" s="7">
        <f>(28/79)*100</f>
        <v>35.443037974683541</v>
      </c>
      <c r="V44" s="6">
        <f>(P44/SUM(P43:P45))*100</f>
        <v>35.453717463208854</v>
      </c>
      <c r="W44" s="6">
        <f t="shared" si="6"/>
        <v>106.33979341257594</v>
      </c>
      <c r="X44" s="45">
        <f>(8.98*0.011675*210*3)/1000</f>
        <v>6.6050145000000005E-2</v>
      </c>
      <c r="Y44" s="7">
        <v>0</v>
      </c>
      <c r="Z44" s="6">
        <f>(3*100)/12</f>
        <v>25</v>
      </c>
      <c r="AA44" s="21">
        <v>0</v>
      </c>
      <c r="AB44" s="1">
        <v>0</v>
      </c>
      <c r="AC44" s="1">
        <v>0</v>
      </c>
    </row>
    <row r="45" spans="1:29" ht="15.75" customHeight="1" x14ac:dyDescent="0.25">
      <c r="A45" s="7">
        <v>9</v>
      </c>
      <c r="B45" s="1" t="s">
        <v>34</v>
      </c>
      <c r="C45" s="1" t="s">
        <v>35</v>
      </c>
      <c r="D45" s="1" t="s">
        <v>46</v>
      </c>
      <c r="E45" s="1" t="s">
        <v>35</v>
      </c>
      <c r="F45" s="1">
        <v>2022</v>
      </c>
      <c r="G45" s="4">
        <v>44882</v>
      </c>
      <c r="H45" s="4" t="s">
        <v>31</v>
      </c>
      <c r="I45" s="34">
        <v>9.1</v>
      </c>
      <c r="J45" s="35">
        <v>2.4</v>
      </c>
      <c r="K45" s="34">
        <v>8.5</v>
      </c>
      <c r="L45" s="35">
        <v>1.8</v>
      </c>
      <c r="M45" s="34">
        <v>4.4000000000000004</v>
      </c>
      <c r="N45" s="35">
        <v>1.8</v>
      </c>
      <c r="O45" s="34">
        <v>3.8</v>
      </c>
      <c r="P45" s="28">
        <f t="shared" si="0"/>
        <v>6.5038973999999999E-3</v>
      </c>
      <c r="Q45" s="26">
        <f t="shared" si="3"/>
        <v>65.038973999999996</v>
      </c>
      <c r="R45" s="1">
        <f>17/400</f>
        <v>4.2500000000000003E-2</v>
      </c>
      <c r="S45" s="1">
        <f>17/0.04</f>
        <v>425</v>
      </c>
      <c r="T45" s="7">
        <f>(S45/1975)*100</f>
        <v>21.518987341772153</v>
      </c>
      <c r="U45" s="7">
        <f>(17/79)*100</f>
        <v>21.518987341772153</v>
      </c>
      <c r="V45" s="6">
        <f>(P45/SUM(P43:P45))*100</f>
        <v>39.696083600977907</v>
      </c>
      <c r="W45" s="6">
        <f t="shared" si="6"/>
        <v>82.734058284522206</v>
      </c>
      <c r="X45" s="45">
        <f>(8.98*0.011675*210*3)/1000</f>
        <v>6.6050145000000005E-2</v>
      </c>
      <c r="Y45" s="7">
        <v>0</v>
      </c>
      <c r="Z45" s="6">
        <f>(2*100)/12</f>
        <v>16.666666666666668</v>
      </c>
      <c r="AA45" s="21">
        <f>9/4</f>
        <v>2.25</v>
      </c>
      <c r="AB45" s="1">
        <f t="shared" si="7"/>
        <v>22500</v>
      </c>
      <c r="AC45" s="1">
        <v>6.4</v>
      </c>
    </row>
    <row r="46" spans="1:29" ht="15.75" customHeight="1" x14ac:dyDescent="0.25">
      <c r="A46" s="7">
        <v>10</v>
      </c>
      <c r="B46" s="1" t="s">
        <v>34</v>
      </c>
      <c r="C46" s="1" t="s">
        <v>35</v>
      </c>
      <c r="D46" s="1" t="s">
        <v>47</v>
      </c>
      <c r="E46" s="1" t="s">
        <v>35</v>
      </c>
      <c r="F46" s="1">
        <v>2019</v>
      </c>
      <c r="G46" s="4">
        <v>43602</v>
      </c>
      <c r="H46" s="4" t="s">
        <v>29</v>
      </c>
      <c r="I46" s="34">
        <v>4.6500000000000004</v>
      </c>
      <c r="J46" s="35">
        <v>2.23</v>
      </c>
      <c r="K46" s="34">
        <v>4.3499999999999996</v>
      </c>
      <c r="L46" s="35">
        <v>0.8</v>
      </c>
      <c r="M46" s="34">
        <v>1.78</v>
      </c>
      <c r="N46" s="35">
        <v>0.54</v>
      </c>
      <c r="O46" s="34">
        <v>1.71</v>
      </c>
      <c r="P46" s="25">
        <f t="shared" si="0"/>
        <v>1.6982311500000004E-3</v>
      </c>
      <c r="Q46" s="27">
        <f t="shared" si="3"/>
        <v>16.982311500000005</v>
      </c>
      <c r="R46" s="1">
        <f>78/400</f>
        <v>0.19500000000000001</v>
      </c>
      <c r="S46" s="1">
        <f>78/0.04</f>
        <v>1950</v>
      </c>
      <c r="T46" s="7">
        <f>(S46/1950)*100</f>
        <v>100</v>
      </c>
      <c r="U46" s="7">
        <f>(78/78)*100</f>
        <v>100</v>
      </c>
      <c r="V46" s="7">
        <f>(P46/P46)*100</f>
        <v>100</v>
      </c>
      <c r="W46" s="7">
        <f t="shared" si="6"/>
        <v>300</v>
      </c>
      <c r="X46" s="38">
        <f>(4.35*2.0794*195*1)/1000</f>
        <v>1.76385105</v>
      </c>
      <c r="Y46" s="7">
        <f>(1*100)/79</f>
        <v>1.2658227848101267</v>
      </c>
      <c r="Z46" s="6">
        <f>(10*100)/88</f>
        <v>11.363636363636363</v>
      </c>
      <c r="AA46" s="21">
        <v>0</v>
      </c>
      <c r="AB46" s="1">
        <v>0</v>
      </c>
      <c r="AC46" s="1" t="s">
        <v>32</v>
      </c>
    </row>
    <row r="47" spans="1:29" ht="15.75" customHeight="1" x14ac:dyDescent="0.25">
      <c r="A47" s="7">
        <v>10</v>
      </c>
      <c r="B47" s="1" t="s">
        <v>34</v>
      </c>
      <c r="C47" s="1" t="s">
        <v>35</v>
      </c>
      <c r="D47" s="1" t="s">
        <v>47</v>
      </c>
      <c r="E47" s="1" t="s">
        <v>35</v>
      </c>
      <c r="F47" s="1">
        <v>2022</v>
      </c>
      <c r="G47" s="4">
        <v>44882</v>
      </c>
      <c r="H47" s="4" t="s">
        <v>30</v>
      </c>
      <c r="I47" s="34">
        <v>3.2</v>
      </c>
      <c r="J47" s="35">
        <v>0.73</v>
      </c>
      <c r="K47" s="34">
        <v>3.7</v>
      </c>
      <c r="L47" s="35">
        <v>1.7</v>
      </c>
      <c r="M47" s="34">
        <v>2.2999999999999998</v>
      </c>
      <c r="N47" s="35">
        <v>0.9</v>
      </c>
      <c r="O47" s="34">
        <v>1.21</v>
      </c>
      <c r="P47" s="25">
        <f t="shared" si="0"/>
        <v>8.0424959999999992E-4</v>
      </c>
      <c r="Q47" s="27">
        <f t="shared" si="3"/>
        <v>8.0424959999999999</v>
      </c>
      <c r="R47" s="1">
        <f>12/400</f>
        <v>0.03</v>
      </c>
      <c r="S47" s="1">
        <f>12/0.04</f>
        <v>300</v>
      </c>
      <c r="T47" s="7">
        <f>(S47/3225)*100</f>
        <v>9.3023255813953494</v>
      </c>
      <c r="U47" s="7">
        <f>(12/129)*100</f>
        <v>9.3023255813953494</v>
      </c>
      <c r="V47" s="6">
        <f>(P47/SUM(P47:P48))*100</f>
        <v>31.673368388493657</v>
      </c>
      <c r="W47" s="7">
        <f t="shared" si="6"/>
        <v>50.278019551284359</v>
      </c>
      <c r="X47" s="41">
        <f>(2.031063*4.43023256*322.5*2)/1000</f>
        <v>5.8037625249372757</v>
      </c>
      <c r="Y47" s="7">
        <v>0</v>
      </c>
      <c r="Z47" s="6">
        <f>(5*100)/15</f>
        <v>33.333333333333336</v>
      </c>
      <c r="AA47" s="21">
        <v>0</v>
      </c>
      <c r="AB47" s="1">
        <v>0</v>
      </c>
      <c r="AC47" s="1" t="s">
        <v>32</v>
      </c>
    </row>
    <row r="48" spans="1:29" ht="15.75" customHeight="1" x14ac:dyDescent="0.25">
      <c r="A48" s="7">
        <v>10</v>
      </c>
      <c r="B48" s="1" t="s">
        <v>34</v>
      </c>
      <c r="C48" s="1" t="s">
        <v>35</v>
      </c>
      <c r="D48" s="1" t="s">
        <v>47</v>
      </c>
      <c r="E48" s="1" t="s">
        <v>35</v>
      </c>
      <c r="F48" s="1">
        <v>2022</v>
      </c>
      <c r="G48" s="4">
        <v>44882</v>
      </c>
      <c r="H48" s="4" t="s">
        <v>29</v>
      </c>
      <c r="I48" s="34">
        <v>4.7</v>
      </c>
      <c r="J48" s="35">
        <v>2.2999999999999998</v>
      </c>
      <c r="K48" s="34">
        <v>4.5</v>
      </c>
      <c r="L48" s="35">
        <v>1.2</v>
      </c>
      <c r="M48" s="34">
        <v>2.2000000000000002</v>
      </c>
      <c r="N48" s="35">
        <v>0.72</v>
      </c>
      <c r="O48" s="34">
        <v>1.8</v>
      </c>
      <c r="P48" s="25">
        <f t="shared" si="0"/>
        <v>1.7349486E-3</v>
      </c>
      <c r="Q48" s="27">
        <f t="shared" si="3"/>
        <v>17.349485999999999</v>
      </c>
      <c r="R48" s="1">
        <f>117/400</f>
        <v>0.29249999999999998</v>
      </c>
      <c r="S48" s="1">
        <f>117/0.04</f>
        <v>2925</v>
      </c>
      <c r="T48" s="7">
        <f>(S48/3225)*100</f>
        <v>90.697674418604649</v>
      </c>
      <c r="U48" s="7">
        <f>(117/129)*100</f>
        <v>90.697674418604649</v>
      </c>
      <c r="V48" s="6">
        <f>(P48/SUM(P47:P48))*100</f>
        <v>68.326631611506343</v>
      </c>
      <c r="W48" s="7">
        <f t="shared" si="6"/>
        <v>249.72198044871564</v>
      </c>
      <c r="X48" s="42">
        <f>(12.05*0.0381967*76*2)/1000</f>
        <v>6.9961075720000016E-2</v>
      </c>
      <c r="Y48" s="7">
        <v>0</v>
      </c>
      <c r="Z48" s="6">
        <f>(10*100)/15</f>
        <v>66.666666666666671</v>
      </c>
      <c r="AA48" s="21">
        <v>0</v>
      </c>
      <c r="AB48" s="1">
        <v>0</v>
      </c>
      <c r="AC48" s="1" t="s">
        <v>32</v>
      </c>
    </row>
    <row r="49" spans="1:29" ht="15.75" customHeight="1" x14ac:dyDescent="0.25">
      <c r="A49" s="7">
        <v>11</v>
      </c>
      <c r="B49" s="1" t="s">
        <v>34</v>
      </c>
      <c r="C49" s="1" t="s">
        <v>35</v>
      </c>
      <c r="D49" s="1" t="s">
        <v>48</v>
      </c>
      <c r="E49" s="1" t="s">
        <v>35</v>
      </c>
      <c r="F49" s="1">
        <v>2019</v>
      </c>
      <c r="G49" s="4">
        <v>43551</v>
      </c>
      <c r="H49" s="4" t="s">
        <v>30</v>
      </c>
      <c r="I49" s="6">
        <v>4.6100000000000003</v>
      </c>
      <c r="J49" s="35">
        <v>1.6937854323700767</v>
      </c>
      <c r="K49" s="34">
        <v>4.87</v>
      </c>
      <c r="L49" s="34">
        <v>2.7089078644689666</v>
      </c>
      <c r="M49" s="37">
        <v>2.0099999999999998</v>
      </c>
      <c r="N49" s="34">
        <v>1.3056026249535944</v>
      </c>
      <c r="O49" s="34">
        <v>0.73</v>
      </c>
      <c r="P49" s="25">
        <f t="shared" si="0"/>
        <v>1.6691399340000002E-3</v>
      </c>
      <c r="Q49" s="26">
        <f t="shared" ref="Q49:Q55" si="9">P49*1000</f>
        <v>1.6691399340000002</v>
      </c>
      <c r="R49" s="8">
        <f>11/400</f>
        <v>2.75E-2</v>
      </c>
      <c r="S49" s="1">
        <f>11/0.04</f>
        <v>275</v>
      </c>
      <c r="T49" s="6">
        <f>(S49/650)*100</f>
        <v>42.307692307692307</v>
      </c>
      <c r="U49" s="6">
        <f>(11/26)*100</f>
        <v>42.307692307692307</v>
      </c>
      <c r="V49" s="7">
        <f>(P49/SUM(P49:P50))*100</f>
        <v>41.976554707328887</v>
      </c>
      <c r="W49" s="6">
        <f t="shared" si="6"/>
        <v>126.5919393227135</v>
      </c>
      <c r="X49" s="41">
        <f>(3.88*2.4768*65*2)/1000</f>
        <v>1.2492979200000001</v>
      </c>
      <c r="Y49" s="1">
        <v>0</v>
      </c>
      <c r="Z49" s="6">
        <f>(43*100)/54</f>
        <v>79.629629629629633</v>
      </c>
      <c r="AA49" s="1">
        <v>0</v>
      </c>
      <c r="AB49" s="1">
        <f t="shared" si="7"/>
        <v>0</v>
      </c>
      <c r="AC49" s="1" t="s">
        <v>32</v>
      </c>
    </row>
    <row r="50" spans="1:29" ht="15.75" customHeight="1" x14ac:dyDescent="0.25">
      <c r="A50" s="7">
        <v>11</v>
      </c>
      <c r="B50" s="1" t="s">
        <v>34</v>
      </c>
      <c r="C50" s="1" t="s">
        <v>35</v>
      </c>
      <c r="D50" s="1" t="s">
        <v>48</v>
      </c>
      <c r="E50" s="1" t="s">
        <v>35</v>
      </c>
      <c r="F50" s="1">
        <v>2019</v>
      </c>
      <c r="G50" s="4">
        <v>43551</v>
      </c>
      <c r="H50" s="4" t="s">
        <v>29</v>
      </c>
      <c r="I50" s="34">
        <v>5.42</v>
      </c>
      <c r="J50" s="34">
        <v>2.8896860926899506</v>
      </c>
      <c r="K50" s="34">
        <v>3.15</v>
      </c>
      <c r="L50" s="37">
        <v>0.99632658634941029</v>
      </c>
      <c r="M50" s="34">
        <v>1.34</v>
      </c>
      <c r="N50" s="34">
        <v>0.6476712864085421</v>
      </c>
      <c r="O50" s="34">
        <v>1.64</v>
      </c>
      <c r="P50" s="25">
        <f>3.1416/4*((I50/100)^2)</f>
        <v>2.3072224559999997E-3</v>
      </c>
      <c r="Q50" s="26">
        <f t="shared" si="9"/>
        <v>2.3072224559999999</v>
      </c>
      <c r="R50" s="8">
        <f>15/400</f>
        <v>3.7499999999999999E-2</v>
      </c>
      <c r="S50" s="1">
        <f>15/0.04</f>
        <v>375</v>
      </c>
      <c r="T50" s="6">
        <f>(S50/650)*100</f>
        <v>57.692307692307686</v>
      </c>
      <c r="U50" s="6">
        <f>(15/26)*100</f>
        <v>57.692307692307686</v>
      </c>
      <c r="V50" s="7">
        <f>(P50/SUM(P49:P50))*100</f>
        <v>58.023445292671113</v>
      </c>
      <c r="W50" s="6">
        <f t="shared" si="6"/>
        <v>173.40806067728647</v>
      </c>
      <c r="X50" s="45">
        <f>(3.88*0.006192*65*2)/1000</f>
        <v>3.1232447999999997E-3</v>
      </c>
      <c r="Y50" s="1">
        <v>0</v>
      </c>
      <c r="Z50" s="6">
        <f>(2*100)/17</f>
        <v>11.764705882352942</v>
      </c>
      <c r="AA50" s="1">
        <v>0</v>
      </c>
      <c r="AB50" s="1">
        <f t="shared" si="7"/>
        <v>0</v>
      </c>
      <c r="AC50" s="1" t="s">
        <v>32</v>
      </c>
    </row>
    <row r="51" spans="1:29" ht="15.75" customHeight="1" x14ac:dyDescent="0.25">
      <c r="A51" s="7">
        <v>11</v>
      </c>
      <c r="B51" s="1" t="s">
        <v>34</v>
      </c>
      <c r="C51" s="1" t="s">
        <v>35</v>
      </c>
      <c r="D51" s="1" t="s">
        <v>48</v>
      </c>
      <c r="E51" s="1" t="s">
        <v>35</v>
      </c>
      <c r="F51" s="1">
        <v>2022</v>
      </c>
      <c r="G51" s="4">
        <v>44883</v>
      </c>
      <c r="H51" s="4" t="s">
        <v>30</v>
      </c>
      <c r="I51" s="34">
        <v>3.6</v>
      </c>
      <c r="J51" s="34">
        <v>1.2</v>
      </c>
      <c r="K51" s="34">
        <v>1.7</v>
      </c>
      <c r="L51" s="37">
        <v>1.1000000000000001</v>
      </c>
      <c r="M51" s="34">
        <v>0.83</v>
      </c>
      <c r="N51" s="34">
        <v>0.6</v>
      </c>
      <c r="O51" s="34">
        <v>1.64</v>
      </c>
      <c r="P51" s="25">
        <f>3.1416/4*((I51/100)^2)</f>
        <v>1.0178784000000002E-3</v>
      </c>
      <c r="Q51" s="26">
        <f t="shared" si="9"/>
        <v>1.0178784000000003</v>
      </c>
      <c r="R51" s="8">
        <f>10/400</f>
        <v>2.5000000000000001E-2</v>
      </c>
      <c r="S51" s="1">
        <f>10/0.04</f>
        <v>250</v>
      </c>
      <c r="T51" s="6">
        <f>(S51/575)*100</f>
        <v>43.478260869565219</v>
      </c>
      <c r="U51" s="6">
        <f>(10/23)*100</f>
        <v>43.478260869565219</v>
      </c>
      <c r="V51" s="7">
        <f>(P51/SUM(P51:P53))*100</f>
        <v>20.899854862119017</v>
      </c>
      <c r="W51" s="6">
        <f t="shared" si="6"/>
        <v>107.85637660124945</v>
      </c>
      <c r="X51" s="41">
        <f>(1.706162*2.3026087*57.5*2)/1000</f>
        <v>0.45179169845308098</v>
      </c>
      <c r="Y51" s="1">
        <v>0</v>
      </c>
      <c r="Z51" s="6">
        <v>0</v>
      </c>
      <c r="AA51" s="1">
        <v>0</v>
      </c>
      <c r="AB51" s="1">
        <v>0</v>
      </c>
      <c r="AC51" s="1" t="s">
        <v>32</v>
      </c>
    </row>
    <row r="52" spans="1:29" ht="15.75" customHeight="1" x14ac:dyDescent="0.25">
      <c r="A52" s="7">
        <v>11</v>
      </c>
      <c r="B52" s="1" t="s">
        <v>34</v>
      </c>
      <c r="C52" s="1" t="s">
        <v>35</v>
      </c>
      <c r="D52" s="1" t="s">
        <v>48</v>
      </c>
      <c r="E52" s="1" t="s">
        <v>35</v>
      </c>
      <c r="F52" s="1">
        <v>2022</v>
      </c>
      <c r="G52" s="4">
        <v>44883</v>
      </c>
      <c r="H52" s="4" t="s">
        <v>29</v>
      </c>
      <c r="I52" s="34">
        <v>5.0999999999999996</v>
      </c>
      <c r="J52" s="34">
        <v>1.2</v>
      </c>
      <c r="K52" s="34">
        <v>2.7</v>
      </c>
      <c r="L52" s="37">
        <v>0.61</v>
      </c>
      <c r="M52" s="34">
        <v>0.95</v>
      </c>
      <c r="N52" s="34">
        <v>0.42</v>
      </c>
      <c r="O52" s="34">
        <v>1.53</v>
      </c>
      <c r="P52" s="25">
        <f>3.1416/4*((I52/100)^2)</f>
        <v>2.0428253999999996E-3</v>
      </c>
      <c r="Q52" s="26">
        <f t="shared" si="9"/>
        <v>2.0428253999999995</v>
      </c>
      <c r="R52" s="8">
        <f>11/400</f>
        <v>2.75E-2</v>
      </c>
      <c r="S52" s="1">
        <f>11/0.04</f>
        <v>275</v>
      </c>
      <c r="T52" s="6">
        <f>(S52/575)*100</f>
        <v>47.826086956521742</v>
      </c>
      <c r="U52" s="6">
        <f>(11/23)*100</f>
        <v>47.826086956521742</v>
      </c>
      <c r="V52" s="7">
        <f>(P52/SUM(P51:P53))*100</f>
        <v>41.94484760522495</v>
      </c>
      <c r="W52" s="6">
        <f t="shared" si="6"/>
        <v>137.59702151826843</v>
      </c>
      <c r="X52" s="45">
        <f>(8.98*0.011675*210*3)/1000</f>
        <v>6.6050145000000005E-2</v>
      </c>
      <c r="Y52" s="1">
        <v>0</v>
      </c>
      <c r="Z52" s="6">
        <v>0</v>
      </c>
      <c r="AA52" s="1">
        <v>0</v>
      </c>
      <c r="AB52" s="1">
        <v>0</v>
      </c>
      <c r="AC52" s="1" t="s">
        <v>32</v>
      </c>
    </row>
    <row r="53" spans="1:29" ht="15.75" customHeight="1" x14ac:dyDescent="0.25">
      <c r="A53" s="7">
        <v>11</v>
      </c>
      <c r="B53" s="1" t="s">
        <v>34</v>
      </c>
      <c r="C53" s="1" t="s">
        <v>35</v>
      </c>
      <c r="D53" s="1" t="s">
        <v>48</v>
      </c>
      <c r="E53" s="1" t="s">
        <v>35</v>
      </c>
      <c r="F53" s="1">
        <v>2022</v>
      </c>
      <c r="G53" s="4">
        <v>44883</v>
      </c>
      <c r="H53" s="4" t="s">
        <v>50</v>
      </c>
      <c r="I53" s="34">
        <v>4.8</v>
      </c>
      <c r="J53" s="34">
        <v>3.1</v>
      </c>
      <c r="K53" s="34">
        <v>3</v>
      </c>
      <c r="L53" s="37">
        <v>0.71</v>
      </c>
      <c r="M53" s="34">
        <v>1.4</v>
      </c>
      <c r="N53" s="34">
        <v>1.2</v>
      </c>
      <c r="O53" s="34">
        <v>2.1</v>
      </c>
      <c r="P53" s="25">
        <f>3.1416/4*((I53/100)^2)</f>
        <v>1.8095616000000001E-3</v>
      </c>
      <c r="Q53" s="26">
        <f t="shared" si="9"/>
        <v>1.8095616000000001</v>
      </c>
      <c r="R53" s="8">
        <f>2/400</f>
        <v>5.0000000000000001E-3</v>
      </c>
      <c r="S53" s="1">
        <f>2/0.04</f>
        <v>50</v>
      </c>
      <c r="T53" s="6">
        <f>(S53/575)*100</f>
        <v>8.695652173913043</v>
      </c>
      <c r="U53" s="6">
        <f>(2/23)*100</f>
        <v>8.695652173913043</v>
      </c>
      <c r="V53" s="7">
        <f>(P53/SUM(P51:P53))*100</f>
        <v>37.155297532656022</v>
      </c>
      <c r="W53" s="6">
        <f t="shared" si="6"/>
        <v>54.546601880482108</v>
      </c>
      <c r="X53" s="45">
        <f>(8.98*0.011675*210*3)/1000</f>
        <v>6.6050145000000005E-2</v>
      </c>
      <c r="Y53" s="1">
        <v>0</v>
      </c>
      <c r="Z53" s="6">
        <f>(15*100)/15</f>
        <v>100</v>
      </c>
      <c r="AA53" s="1">
        <v>0</v>
      </c>
      <c r="AB53" s="1">
        <v>0</v>
      </c>
      <c r="AC53" s="1" t="s">
        <v>32</v>
      </c>
    </row>
    <row r="54" spans="1:29" ht="15.75" customHeight="1" x14ac:dyDescent="0.25">
      <c r="A54" s="7">
        <v>12</v>
      </c>
      <c r="B54" s="1" t="s">
        <v>34</v>
      </c>
      <c r="C54" s="1" t="s">
        <v>35</v>
      </c>
      <c r="D54" s="1" t="s">
        <v>36</v>
      </c>
      <c r="E54" s="1" t="s">
        <v>35</v>
      </c>
      <c r="F54" s="1">
        <v>2019</v>
      </c>
      <c r="G54" s="4">
        <v>43552</v>
      </c>
      <c r="H54" s="4" t="s">
        <v>30</v>
      </c>
      <c r="I54" s="34">
        <v>2.86</v>
      </c>
      <c r="J54" s="34">
        <v>0.36339548298826357</v>
      </c>
      <c r="K54" s="34">
        <v>3.18</v>
      </c>
      <c r="L54" s="34">
        <v>0.52430122533880774</v>
      </c>
      <c r="M54" s="34">
        <v>1.38</v>
      </c>
      <c r="N54" s="34">
        <v>0.46181577444237409</v>
      </c>
      <c r="O54" s="34">
        <v>1.27</v>
      </c>
      <c r="P54" s="25">
        <f t="shared" si="0"/>
        <v>6.4242578400000008E-4</v>
      </c>
      <c r="Q54" s="26">
        <f t="shared" si="9"/>
        <v>0.64242578400000006</v>
      </c>
      <c r="R54" s="8">
        <f>22/400</f>
        <v>5.5E-2</v>
      </c>
      <c r="S54" s="1">
        <f>22/0.04</f>
        <v>550</v>
      </c>
      <c r="T54" s="6">
        <f>(S54/850)*100</f>
        <v>64.705882352941174</v>
      </c>
      <c r="U54" s="6">
        <f>(22/34)*100</f>
        <v>64.705882352941174</v>
      </c>
      <c r="V54" s="6">
        <f>(P54/SUM(P54:P55))*100</f>
        <v>37.912047165263822</v>
      </c>
      <c r="W54" s="6">
        <f t="shared" si="6"/>
        <v>167.32381187114618</v>
      </c>
      <c r="X54" s="41">
        <f>(2.99*0.8238*85*2)/1000</f>
        <v>0.41873754000000002</v>
      </c>
      <c r="Y54" s="1">
        <v>0</v>
      </c>
      <c r="Z54" s="7" t="s">
        <v>37</v>
      </c>
      <c r="AA54" s="1">
        <v>0</v>
      </c>
      <c r="AB54" s="1">
        <f t="shared" si="7"/>
        <v>0</v>
      </c>
      <c r="AC54" s="1" t="s">
        <v>32</v>
      </c>
    </row>
    <row r="55" spans="1:29" ht="15.75" customHeight="1" x14ac:dyDescent="0.25">
      <c r="A55" s="7">
        <v>12</v>
      </c>
      <c r="B55" s="1" t="s">
        <v>34</v>
      </c>
      <c r="C55" s="1" t="s">
        <v>35</v>
      </c>
      <c r="D55" s="1" t="s">
        <v>36</v>
      </c>
      <c r="E55" s="1" t="s">
        <v>35</v>
      </c>
      <c r="F55" s="1">
        <v>2019</v>
      </c>
      <c r="G55" s="4">
        <v>43552</v>
      </c>
      <c r="H55" s="4" t="s">
        <v>29</v>
      </c>
      <c r="I55" s="34">
        <v>3.66</v>
      </c>
      <c r="J55" s="34">
        <v>1.1049132695978152</v>
      </c>
      <c r="K55" s="34">
        <v>2.65</v>
      </c>
      <c r="L55" s="34">
        <v>0.92785186905512673</v>
      </c>
      <c r="M55" s="34">
        <v>0.85</v>
      </c>
      <c r="N55" s="34">
        <v>0.53404899900040381</v>
      </c>
      <c r="O55" s="34">
        <v>1.58</v>
      </c>
      <c r="P55" s="25">
        <f t="shared" si="0"/>
        <v>1.0520904239999999E-3</v>
      </c>
      <c r="Q55" s="26">
        <f t="shared" si="9"/>
        <v>1.052090424</v>
      </c>
      <c r="R55" s="8">
        <f>12/400</f>
        <v>0.03</v>
      </c>
      <c r="S55" s="1">
        <f>12/0.04</f>
        <v>300</v>
      </c>
      <c r="T55" s="6">
        <f>(S55/850)*100</f>
        <v>35.294117647058826</v>
      </c>
      <c r="U55" s="6">
        <f>(12/34)*100</f>
        <v>35.294117647058826</v>
      </c>
      <c r="V55" s="6">
        <f>(P55/SUM(P54:P55))*100</f>
        <v>62.087952834736171</v>
      </c>
      <c r="W55" s="6">
        <f t="shared" si="6"/>
        <v>132.67618812885382</v>
      </c>
      <c r="X55" s="45">
        <f>(2.99*0.0020596*85*2)/1000</f>
        <v>1.0468946800000001E-3</v>
      </c>
      <c r="Y55" s="1">
        <v>0</v>
      </c>
      <c r="Z55" s="6" t="s">
        <v>37</v>
      </c>
      <c r="AA55" s="1">
        <v>0</v>
      </c>
      <c r="AB55" s="1">
        <f t="shared" si="7"/>
        <v>0</v>
      </c>
      <c r="AC55" s="1" t="s">
        <v>32</v>
      </c>
    </row>
    <row r="56" spans="1:29" ht="15.75" customHeight="1" x14ac:dyDescent="0.25">
      <c r="A56" s="7">
        <v>12</v>
      </c>
      <c r="B56" s="1" t="s">
        <v>34</v>
      </c>
      <c r="C56" s="1" t="s">
        <v>35</v>
      </c>
      <c r="D56" s="1" t="s">
        <v>36</v>
      </c>
      <c r="E56" s="1" t="s">
        <v>35</v>
      </c>
      <c r="F56" s="1">
        <v>2022</v>
      </c>
      <c r="G56" s="4">
        <v>44883</v>
      </c>
      <c r="H56" s="4" t="s">
        <v>32</v>
      </c>
      <c r="I56" s="40" t="s">
        <v>51</v>
      </c>
      <c r="J56" s="10"/>
      <c r="K56" s="10"/>
      <c r="L56" s="10"/>
      <c r="M56" s="10"/>
      <c r="N56" s="10"/>
      <c r="O56" s="24"/>
      <c r="P56" s="10"/>
      <c r="Q56" s="5"/>
      <c r="R56" s="23"/>
      <c r="S56" s="7"/>
      <c r="T56" s="7"/>
      <c r="U56" s="7"/>
      <c r="V56" s="7"/>
      <c r="W56" s="7"/>
      <c r="X56" s="5"/>
      <c r="Y56" s="1">
        <v>0</v>
      </c>
      <c r="Z56" s="6">
        <f>(4*100)/4</f>
        <v>100</v>
      </c>
      <c r="AA56" s="5">
        <v>0</v>
      </c>
      <c r="AB56" s="1">
        <v>0</v>
      </c>
      <c r="AC56" s="1" t="s">
        <v>32</v>
      </c>
    </row>
    <row r="57" spans="1:29" ht="15.75" customHeight="1" x14ac:dyDescent="0.25">
      <c r="A57" s="7"/>
      <c r="G57" s="4"/>
      <c r="H57" s="4"/>
      <c r="I57" s="10"/>
      <c r="J57" s="10"/>
      <c r="K57" s="10"/>
      <c r="L57" s="10"/>
      <c r="M57" s="10"/>
      <c r="N57" s="10"/>
      <c r="O57" s="10"/>
      <c r="P57" s="5"/>
      <c r="Q57" s="5"/>
      <c r="T57" s="5"/>
      <c r="U57" s="5"/>
      <c r="V57" s="5"/>
      <c r="W57" s="7"/>
      <c r="X57" s="5"/>
      <c r="Z57" s="7"/>
    </row>
    <row r="58" spans="1:29" ht="15.75" customHeight="1" x14ac:dyDescent="0.25">
      <c r="A58" s="7"/>
      <c r="G58" s="4"/>
      <c r="H58" s="4"/>
      <c r="I58" s="10"/>
      <c r="J58" s="10"/>
      <c r="K58" s="10"/>
      <c r="L58" s="10"/>
      <c r="M58" s="10"/>
      <c r="N58" s="10"/>
      <c r="Q58" s="5"/>
      <c r="T58" s="5"/>
      <c r="U58" s="5"/>
      <c r="V58" s="5"/>
      <c r="W58" s="7"/>
      <c r="X58" s="5"/>
      <c r="Z58" s="6"/>
    </row>
    <row r="59" spans="1:29" x14ac:dyDescent="0.25">
      <c r="A59" s="7"/>
      <c r="G59" s="4"/>
      <c r="H59" s="4"/>
      <c r="I59" s="10"/>
      <c r="J59" s="10"/>
      <c r="K59" s="10"/>
      <c r="L59" s="10"/>
      <c r="M59" s="10"/>
      <c r="N59" s="10"/>
      <c r="O59" s="10"/>
      <c r="P59" s="10"/>
      <c r="Q59" s="5"/>
      <c r="T59" s="7"/>
      <c r="U59" s="7"/>
      <c r="V59" s="7"/>
      <c r="W59" s="7"/>
      <c r="X59" s="5"/>
      <c r="Z59" s="6"/>
      <c r="AA59" s="5"/>
    </row>
    <row r="60" spans="1:29" ht="15.75" customHeight="1" x14ac:dyDescent="0.25">
      <c r="A60" s="7"/>
      <c r="G60" s="4"/>
      <c r="H60" s="4"/>
      <c r="I60" s="10"/>
      <c r="J60" s="10"/>
      <c r="K60" s="10"/>
      <c r="L60" s="10"/>
      <c r="M60" s="10"/>
      <c r="N60" s="10"/>
      <c r="O60" s="10"/>
      <c r="P60" s="22"/>
      <c r="Q60" s="5"/>
      <c r="S60" s="7"/>
      <c r="T60" s="7"/>
      <c r="U60" s="7"/>
      <c r="V60" s="7"/>
      <c r="W60" s="7"/>
      <c r="X60" s="5"/>
      <c r="Z60" s="6"/>
    </row>
    <row r="61" spans="1:29" ht="15.75" customHeight="1" x14ac:dyDescent="0.25">
      <c r="A61" s="7"/>
      <c r="G61" s="4"/>
      <c r="H61" s="4"/>
      <c r="I61" s="10"/>
      <c r="J61" s="10"/>
      <c r="K61" s="10"/>
      <c r="L61" s="10"/>
      <c r="M61" s="10"/>
      <c r="N61" s="10"/>
      <c r="O61" s="10"/>
      <c r="P61" s="5"/>
      <c r="Q61" s="5"/>
      <c r="T61" s="5"/>
      <c r="U61" s="5"/>
      <c r="V61" s="5"/>
      <c r="W61" s="7"/>
      <c r="X61" s="5"/>
      <c r="Z61" s="6"/>
    </row>
    <row r="62" spans="1:29" ht="15.75" customHeight="1" x14ac:dyDescent="0.25">
      <c r="A62" s="7"/>
      <c r="G62" s="4"/>
      <c r="H62" s="4"/>
      <c r="I62" s="10"/>
      <c r="J62" s="10"/>
      <c r="K62" s="10"/>
      <c r="L62" s="10"/>
      <c r="M62" s="10"/>
      <c r="N62" s="10"/>
      <c r="O62" s="10"/>
      <c r="P62" s="5"/>
      <c r="Q62" s="5"/>
      <c r="T62" s="5"/>
      <c r="U62" s="5"/>
      <c r="V62" s="5"/>
      <c r="W62" s="7"/>
      <c r="X62" s="5"/>
      <c r="Z62" s="7"/>
    </row>
    <row r="63" spans="1:29" ht="15.75" customHeight="1" x14ac:dyDescent="0.25">
      <c r="A63" s="7"/>
      <c r="G63" s="4"/>
      <c r="H63" s="4"/>
      <c r="I63" s="9"/>
      <c r="J63" s="9"/>
      <c r="K63" s="9"/>
      <c r="L63" s="9"/>
      <c r="M63" s="9"/>
      <c r="N63" s="9"/>
      <c r="O63" s="9"/>
      <c r="P63" s="5"/>
      <c r="Q63" s="5"/>
      <c r="R63" s="8"/>
      <c r="T63" s="5"/>
      <c r="U63" s="5"/>
      <c r="V63" s="5"/>
      <c r="W63" s="7"/>
      <c r="X63" s="5"/>
      <c r="Z63" s="7"/>
    </row>
    <row r="64" spans="1:29" ht="15.75" customHeight="1" x14ac:dyDescent="0.25">
      <c r="A64" s="7"/>
      <c r="G64" s="4"/>
      <c r="H64" s="4"/>
      <c r="I64" s="9"/>
      <c r="J64" s="9"/>
      <c r="K64" s="9"/>
      <c r="L64" s="9"/>
      <c r="M64" s="9"/>
      <c r="N64" s="9"/>
      <c r="O64" s="9"/>
      <c r="P64" s="5"/>
      <c r="Q64" s="5"/>
      <c r="R64" s="8"/>
      <c r="T64" s="5"/>
      <c r="U64" s="5"/>
      <c r="V64" s="8"/>
      <c r="W64" s="7"/>
      <c r="X64" s="5"/>
      <c r="Z64" s="7"/>
    </row>
    <row r="65" spans="1:26" ht="15.75" customHeight="1" x14ac:dyDescent="0.25">
      <c r="A65" s="7"/>
      <c r="G65" s="4"/>
      <c r="H65" s="4"/>
      <c r="I65" s="9"/>
      <c r="J65" s="9"/>
      <c r="K65" s="9"/>
      <c r="L65" s="9"/>
      <c r="M65" s="9"/>
      <c r="N65" s="9"/>
      <c r="O65" s="9"/>
      <c r="P65" s="5"/>
      <c r="Q65" s="5"/>
      <c r="T65" s="5"/>
      <c r="U65" s="5"/>
      <c r="V65" s="5"/>
      <c r="W65" s="7"/>
      <c r="X65" s="5"/>
      <c r="Y65" s="6"/>
      <c r="Z65" s="6"/>
    </row>
    <row r="66" spans="1:26" ht="15.75" customHeight="1" x14ac:dyDescent="0.25">
      <c r="A66" s="7"/>
      <c r="G66" s="4"/>
      <c r="H66" s="4"/>
      <c r="I66" s="9"/>
      <c r="J66" s="9"/>
      <c r="K66" s="9"/>
      <c r="L66" s="9"/>
      <c r="M66" s="9"/>
      <c r="N66" s="9"/>
      <c r="O66" s="5"/>
      <c r="P66" s="5"/>
      <c r="Q66" s="5"/>
      <c r="S66" s="5"/>
      <c r="T66" s="5"/>
      <c r="U66" s="5"/>
      <c r="V66" s="5"/>
      <c r="W66" s="7"/>
      <c r="X66" s="5"/>
      <c r="Z66" s="7"/>
    </row>
    <row r="67" spans="1:26" ht="15.75" customHeight="1" x14ac:dyDescent="0.25">
      <c r="A67" s="7"/>
      <c r="G67" s="14"/>
      <c r="H67" s="4"/>
      <c r="I67" s="10"/>
      <c r="J67" s="10"/>
      <c r="K67" s="10"/>
      <c r="L67" s="10"/>
      <c r="M67" s="10"/>
      <c r="N67" s="10"/>
      <c r="O67" s="10"/>
      <c r="P67" s="5"/>
      <c r="Q67" s="5"/>
      <c r="T67" s="5"/>
      <c r="U67" s="5"/>
      <c r="V67" s="5"/>
      <c r="W67" s="7"/>
      <c r="X67" s="5"/>
      <c r="Z67" s="6"/>
    </row>
    <row r="68" spans="1:26" ht="15.75" customHeight="1" x14ac:dyDescent="0.25">
      <c r="A68" s="7"/>
      <c r="G68" s="14"/>
      <c r="H68" s="4"/>
      <c r="I68" s="10"/>
      <c r="J68" s="10"/>
      <c r="K68" s="10"/>
      <c r="L68" s="10"/>
      <c r="M68" s="10"/>
      <c r="N68" s="10"/>
      <c r="O68" s="10"/>
      <c r="P68" s="5"/>
      <c r="Q68" s="5"/>
      <c r="T68" s="5"/>
      <c r="U68" s="5"/>
      <c r="V68" s="5"/>
      <c r="W68" s="7"/>
      <c r="X68" s="5"/>
      <c r="Z68" s="7"/>
    </row>
    <row r="69" spans="1:26" ht="15.75" customHeight="1" x14ac:dyDescent="0.25">
      <c r="A69" s="7"/>
      <c r="G69" s="14"/>
      <c r="H69" s="4"/>
      <c r="I69" s="10"/>
      <c r="J69" s="10"/>
      <c r="K69" s="10"/>
      <c r="L69" s="10"/>
      <c r="M69" s="10"/>
      <c r="N69" s="10"/>
      <c r="O69" s="10"/>
      <c r="P69" s="5"/>
      <c r="Q69" s="5"/>
      <c r="T69" s="5"/>
      <c r="U69" s="5"/>
      <c r="V69" s="5"/>
      <c r="W69" s="7"/>
      <c r="X69" s="5"/>
      <c r="Z69" s="7"/>
    </row>
    <row r="70" spans="1:26" ht="15.75" customHeight="1" x14ac:dyDescent="0.25">
      <c r="A70" s="7"/>
      <c r="G70" s="4"/>
      <c r="H70" s="4"/>
      <c r="I70" s="10"/>
      <c r="J70" s="10"/>
      <c r="K70" s="10"/>
      <c r="L70" s="10"/>
      <c r="M70" s="10"/>
      <c r="N70" s="10"/>
      <c r="O70" s="10"/>
      <c r="P70" s="5"/>
      <c r="Q70" s="5"/>
      <c r="R70" s="8"/>
      <c r="T70" s="7"/>
      <c r="U70" s="7"/>
      <c r="W70" s="7"/>
      <c r="X70" s="5"/>
      <c r="Z70" s="7"/>
    </row>
    <row r="71" spans="1:26" ht="15.75" customHeight="1" x14ac:dyDescent="0.25">
      <c r="A71" s="7"/>
      <c r="G71" s="4"/>
      <c r="H71" s="4"/>
      <c r="I71" s="10"/>
      <c r="J71" s="10"/>
      <c r="K71" s="10"/>
      <c r="L71" s="10"/>
      <c r="M71" s="10"/>
      <c r="N71" s="10"/>
      <c r="O71" s="10"/>
      <c r="P71" s="5"/>
      <c r="Q71" s="5"/>
      <c r="T71" s="5"/>
      <c r="U71" s="5"/>
      <c r="V71" s="6"/>
      <c r="W71" s="7"/>
      <c r="X71" s="5"/>
      <c r="Z71" s="6"/>
    </row>
    <row r="72" spans="1:26" ht="15.75" customHeight="1" x14ac:dyDescent="0.25">
      <c r="A72" s="7"/>
      <c r="G72" s="4"/>
      <c r="H72" s="4"/>
      <c r="I72" s="10"/>
      <c r="J72" s="10"/>
      <c r="K72" s="10"/>
      <c r="L72" s="10"/>
      <c r="M72" s="5"/>
      <c r="N72" s="10"/>
      <c r="O72" s="5"/>
      <c r="P72" s="5"/>
      <c r="Q72" s="5"/>
      <c r="T72" s="5"/>
      <c r="U72" s="5"/>
      <c r="V72" s="6"/>
      <c r="W72" s="7"/>
      <c r="X72" s="5"/>
      <c r="Z72" s="7"/>
    </row>
    <row r="73" spans="1:26" ht="15.75" customHeight="1" x14ac:dyDescent="0.25">
      <c r="A73" s="7"/>
      <c r="G73" s="4"/>
      <c r="H73" s="4"/>
      <c r="I73" s="10"/>
      <c r="J73" s="10"/>
      <c r="K73" s="10"/>
      <c r="L73" s="10"/>
      <c r="M73" s="10"/>
      <c r="N73" s="10"/>
      <c r="O73" s="10"/>
      <c r="P73" s="5"/>
      <c r="Q73" s="5"/>
      <c r="R73" s="8"/>
      <c r="T73" s="5"/>
      <c r="U73" s="5"/>
      <c r="V73" s="5"/>
      <c r="W73" s="7"/>
      <c r="X73" s="5"/>
      <c r="Z73" s="6"/>
    </row>
    <row r="74" spans="1:26" ht="15.75" customHeight="1" x14ac:dyDescent="0.25">
      <c r="A74" s="7"/>
      <c r="G74" s="4"/>
      <c r="H74" s="4"/>
      <c r="I74" s="10"/>
      <c r="J74" s="10"/>
      <c r="K74" s="10"/>
      <c r="L74" s="10"/>
      <c r="M74" s="10"/>
      <c r="N74" s="10"/>
      <c r="O74" s="10"/>
      <c r="P74" s="12"/>
      <c r="Q74" s="5"/>
      <c r="R74" s="8"/>
      <c r="T74" s="5"/>
      <c r="U74" s="5"/>
      <c r="V74" s="5"/>
      <c r="W74" s="7"/>
      <c r="X74" s="5"/>
      <c r="Z74" s="6"/>
    </row>
    <row r="75" spans="1:26" ht="15.75" customHeight="1" x14ac:dyDescent="0.25">
      <c r="A75" s="7"/>
      <c r="G75" s="4"/>
      <c r="H75" s="4"/>
      <c r="I75" s="10"/>
      <c r="J75" s="10"/>
      <c r="K75" s="10"/>
      <c r="L75" s="10"/>
      <c r="M75" s="10"/>
      <c r="N75" s="10"/>
      <c r="O75" s="10"/>
      <c r="P75" s="12"/>
      <c r="Q75" s="5"/>
      <c r="R75" s="8"/>
      <c r="T75" s="5"/>
      <c r="U75" s="5"/>
      <c r="V75" s="5"/>
      <c r="W75" s="7"/>
      <c r="X75" s="5"/>
      <c r="Z75" s="6"/>
    </row>
    <row r="76" spans="1:26" ht="15.75" customHeight="1" x14ac:dyDescent="0.25">
      <c r="A76" s="7"/>
      <c r="G76" s="4"/>
      <c r="H76" s="4"/>
      <c r="I76" s="10"/>
      <c r="J76" s="10"/>
      <c r="K76" s="10"/>
      <c r="L76" s="10"/>
      <c r="M76" s="10"/>
      <c r="N76" s="10"/>
      <c r="O76" s="10"/>
      <c r="P76" s="5"/>
      <c r="Q76" s="5"/>
      <c r="R76" s="8"/>
      <c r="T76" s="5"/>
      <c r="U76" s="5"/>
      <c r="V76" s="5"/>
      <c r="W76" s="7"/>
      <c r="X76" s="5"/>
      <c r="Z76" s="6"/>
    </row>
    <row r="77" spans="1:26" ht="15.75" customHeight="1" x14ac:dyDescent="0.25">
      <c r="A77" s="7"/>
      <c r="G77" s="4"/>
      <c r="H77" s="4"/>
      <c r="I77" s="10"/>
      <c r="J77" s="10"/>
      <c r="K77" s="10"/>
      <c r="L77" s="10"/>
      <c r="M77" s="10"/>
      <c r="N77" s="10"/>
      <c r="O77" s="10"/>
      <c r="P77" s="12"/>
      <c r="Q77" s="5"/>
      <c r="R77" s="8"/>
      <c r="S77" s="7"/>
      <c r="T77" s="5"/>
      <c r="U77" s="5"/>
      <c r="V77" s="5"/>
      <c r="W77" s="7"/>
      <c r="X77" s="5"/>
      <c r="Z77" s="6"/>
    </row>
    <row r="78" spans="1:26" ht="15.75" customHeight="1" x14ac:dyDescent="0.25">
      <c r="A78" s="7"/>
      <c r="G78" s="4"/>
      <c r="H78" s="4"/>
      <c r="I78" s="10"/>
      <c r="J78" s="10"/>
      <c r="K78" s="10"/>
      <c r="L78" s="10"/>
      <c r="M78" s="10"/>
      <c r="N78" s="10"/>
      <c r="O78" s="10"/>
      <c r="P78" s="12"/>
      <c r="Q78" s="5"/>
      <c r="R78" s="8"/>
      <c r="T78" s="5"/>
      <c r="U78" s="5"/>
      <c r="V78" s="5"/>
      <c r="W78" s="7"/>
      <c r="X78" s="5"/>
      <c r="Z78" s="7"/>
    </row>
    <row r="79" spans="1:26" ht="15.75" customHeight="1" x14ac:dyDescent="0.25">
      <c r="A79" s="7"/>
      <c r="G79" s="4"/>
      <c r="H79" s="4"/>
      <c r="I79" s="10"/>
      <c r="J79" s="10"/>
      <c r="K79" s="10"/>
      <c r="L79" s="10"/>
      <c r="M79" s="10"/>
      <c r="N79" s="10"/>
      <c r="O79" s="10"/>
      <c r="P79" s="12"/>
      <c r="Q79" s="5"/>
      <c r="T79" s="5"/>
      <c r="U79" s="5"/>
      <c r="V79" s="5"/>
      <c r="W79" s="7"/>
      <c r="X79" s="5"/>
      <c r="Z79" s="6"/>
    </row>
    <row r="80" spans="1:26" ht="15.75" customHeight="1" x14ac:dyDescent="0.25">
      <c r="A80" s="7"/>
      <c r="G80" s="4"/>
      <c r="H80" s="4"/>
      <c r="I80" s="10"/>
      <c r="J80" s="10"/>
      <c r="K80" s="10"/>
      <c r="L80" s="10"/>
      <c r="M80" s="10"/>
      <c r="N80" s="10"/>
      <c r="O80" s="10"/>
      <c r="P80" s="12"/>
      <c r="Q80" s="5"/>
      <c r="T80" s="5"/>
      <c r="U80" s="5"/>
      <c r="V80" s="5"/>
      <c r="W80" s="7"/>
      <c r="X80" s="5"/>
      <c r="Z80" s="6"/>
    </row>
    <row r="81" spans="1:26" ht="15.75" customHeight="1" x14ac:dyDescent="0.25">
      <c r="A81" s="7"/>
      <c r="G81" s="14"/>
      <c r="H81" s="4"/>
      <c r="I81" s="9"/>
      <c r="J81" s="9"/>
      <c r="K81" s="9"/>
      <c r="L81" s="9"/>
      <c r="M81" s="9"/>
      <c r="N81" s="9"/>
      <c r="O81" s="9"/>
      <c r="P81" s="5"/>
      <c r="Q81" s="5"/>
      <c r="T81" s="5"/>
      <c r="U81" s="5"/>
      <c r="W81" s="7"/>
      <c r="X81" s="5"/>
      <c r="Z81" s="6"/>
    </row>
    <row r="82" spans="1:26" ht="15.75" customHeight="1" x14ac:dyDescent="0.25">
      <c r="A82" s="7"/>
      <c r="G82" s="4"/>
      <c r="H82" s="4"/>
      <c r="I82" s="9"/>
      <c r="J82" s="9"/>
      <c r="K82" s="9"/>
      <c r="L82" s="9"/>
      <c r="M82" s="9"/>
      <c r="N82" s="9"/>
      <c r="O82" s="9"/>
      <c r="P82" s="5"/>
      <c r="Q82" s="5"/>
      <c r="R82" s="8"/>
      <c r="T82" s="5"/>
      <c r="U82" s="5"/>
      <c r="V82" s="5"/>
      <c r="W82" s="7"/>
      <c r="X82" s="5"/>
      <c r="Z82" s="7"/>
    </row>
    <row r="83" spans="1:26" ht="15.75" customHeight="1" x14ac:dyDescent="0.25">
      <c r="A83" s="7"/>
      <c r="G83" s="4"/>
      <c r="H83" s="4"/>
      <c r="I83" s="10"/>
      <c r="J83" s="10"/>
      <c r="K83" s="10"/>
      <c r="L83" s="10"/>
      <c r="M83" s="10"/>
      <c r="N83" s="10"/>
      <c r="O83" s="10"/>
      <c r="P83" s="5"/>
      <c r="Q83" s="5"/>
      <c r="R83" s="8"/>
      <c r="T83" s="5"/>
      <c r="U83" s="5"/>
      <c r="V83" s="5"/>
      <c r="W83" s="7"/>
      <c r="X83" s="5"/>
      <c r="Z83" s="6"/>
    </row>
    <row r="84" spans="1:26" ht="15.75" customHeight="1" x14ac:dyDescent="0.25">
      <c r="A84" s="7"/>
      <c r="G84" s="4"/>
      <c r="H84" s="4"/>
      <c r="I84" s="10"/>
      <c r="J84" s="10"/>
      <c r="K84" s="10"/>
      <c r="L84" s="10"/>
      <c r="M84" s="10"/>
      <c r="N84" s="10"/>
      <c r="O84" s="10"/>
      <c r="P84" s="5"/>
      <c r="Q84" s="5"/>
      <c r="T84" s="5"/>
      <c r="U84" s="5"/>
      <c r="V84" s="5"/>
      <c r="W84" s="7"/>
      <c r="X84" s="5"/>
      <c r="Z84" s="6"/>
    </row>
    <row r="85" spans="1:26" ht="15.75" customHeight="1" x14ac:dyDescent="0.25">
      <c r="A85" s="7"/>
      <c r="G85" s="4"/>
      <c r="H85" s="4"/>
      <c r="I85" s="10"/>
      <c r="J85" s="10"/>
      <c r="K85" s="10"/>
      <c r="L85" s="10"/>
      <c r="M85" s="10"/>
      <c r="N85" s="10"/>
      <c r="O85" s="10"/>
      <c r="P85" s="5"/>
      <c r="Q85" s="5"/>
      <c r="T85" s="5"/>
      <c r="U85" s="5"/>
      <c r="V85" s="5"/>
      <c r="W85" s="7"/>
      <c r="X85" s="5"/>
      <c r="Z85" s="7"/>
    </row>
    <row r="86" spans="1:26" ht="15.75" customHeight="1" x14ac:dyDescent="0.25">
      <c r="A86" s="7"/>
      <c r="G86" s="4"/>
      <c r="H86" s="4"/>
      <c r="I86" s="10"/>
      <c r="J86" s="10"/>
      <c r="K86" s="10"/>
      <c r="L86" s="10"/>
      <c r="M86" s="10"/>
      <c r="N86" s="10"/>
      <c r="O86" s="10"/>
      <c r="P86" s="5"/>
      <c r="Q86" s="5"/>
      <c r="T86" s="5"/>
      <c r="U86" s="5"/>
      <c r="V86" s="5"/>
      <c r="W86" s="7"/>
      <c r="X86" s="5"/>
      <c r="Z86" s="7"/>
    </row>
    <row r="87" spans="1:26" ht="15.75" customHeight="1" x14ac:dyDescent="0.25">
      <c r="A87" s="7"/>
      <c r="G87" s="4"/>
      <c r="H87" s="4"/>
      <c r="I87" s="9"/>
      <c r="J87" s="9"/>
      <c r="K87" s="9"/>
      <c r="L87" s="9"/>
      <c r="M87" s="9"/>
      <c r="N87" s="9"/>
      <c r="O87" s="9"/>
      <c r="P87" s="5"/>
      <c r="Q87" s="5"/>
      <c r="T87" s="5"/>
      <c r="U87" s="5"/>
      <c r="V87" s="5"/>
      <c r="W87" s="7"/>
      <c r="X87" s="5"/>
      <c r="Z87" s="6"/>
    </row>
    <row r="88" spans="1:26" ht="15.75" customHeight="1" x14ac:dyDescent="0.25">
      <c r="A88" s="7"/>
      <c r="G88" s="4"/>
      <c r="H88" s="4"/>
      <c r="I88" s="9"/>
      <c r="J88" s="9"/>
      <c r="K88" s="9"/>
      <c r="L88" s="9"/>
      <c r="M88" s="9"/>
      <c r="N88" s="9"/>
      <c r="O88" s="9"/>
      <c r="P88" s="5"/>
      <c r="Q88" s="5"/>
      <c r="T88" s="5"/>
      <c r="U88" s="5"/>
      <c r="V88" s="5"/>
      <c r="W88" s="7"/>
      <c r="X88" s="5"/>
      <c r="Y88" s="5"/>
      <c r="Z88" s="6"/>
    </row>
    <row r="89" spans="1:26" ht="15.75" customHeight="1" x14ac:dyDescent="0.25">
      <c r="A89" s="7"/>
      <c r="G89" s="4"/>
      <c r="H89" s="4"/>
      <c r="I89" s="10"/>
      <c r="J89" s="10"/>
      <c r="K89" s="10"/>
      <c r="L89" s="10"/>
      <c r="M89" s="10"/>
      <c r="N89" s="10"/>
      <c r="O89" s="10"/>
      <c r="P89" s="5"/>
      <c r="Q89" s="5"/>
      <c r="R89" s="8"/>
      <c r="T89" s="5"/>
      <c r="U89" s="5"/>
      <c r="V89" s="5"/>
      <c r="W89" s="7"/>
      <c r="X89" s="5"/>
      <c r="Z89" s="6"/>
    </row>
    <row r="90" spans="1:26" ht="15.75" customHeight="1" x14ac:dyDescent="0.25">
      <c r="A90" s="7"/>
      <c r="G90" s="4"/>
      <c r="H90" s="4"/>
      <c r="I90" s="10"/>
      <c r="J90" s="10"/>
      <c r="K90" s="10"/>
      <c r="L90" s="10"/>
      <c r="M90" s="10"/>
      <c r="N90" s="10"/>
      <c r="O90" s="10"/>
      <c r="P90" s="5"/>
      <c r="Q90" s="5"/>
      <c r="R90" s="8"/>
      <c r="T90" s="5"/>
      <c r="U90" s="5"/>
      <c r="V90" s="5"/>
      <c r="W90" s="7"/>
      <c r="X90" s="5"/>
      <c r="Z90" s="6"/>
    </row>
    <row r="91" spans="1:26" ht="15.75" customHeight="1" x14ac:dyDescent="0.25">
      <c r="A91" s="7"/>
      <c r="G91" s="4"/>
      <c r="H91" s="4"/>
      <c r="I91" s="10"/>
      <c r="J91" s="10"/>
      <c r="K91" s="10"/>
      <c r="L91" s="5"/>
      <c r="M91" s="10"/>
      <c r="N91" s="5"/>
      <c r="O91" s="10"/>
      <c r="P91" s="5"/>
      <c r="Q91" s="5"/>
      <c r="R91" s="8"/>
      <c r="T91" s="5"/>
      <c r="U91" s="5"/>
      <c r="V91" s="5"/>
      <c r="W91" s="7"/>
      <c r="X91" s="5"/>
      <c r="Z91" s="7"/>
    </row>
    <row r="92" spans="1:26" ht="15.75" customHeight="1" x14ac:dyDescent="0.25">
      <c r="A92" s="7"/>
      <c r="G92" s="14"/>
      <c r="H92" s="4"/>
      <c r="I92" s="10"/>
      <c r="J92" s="10"/>
      <c r="K92" s="10"/>
      <c r="L92" s="10"/>
      <c r="M92" s="10"/>
      <c r="N92" s="10"/>
      <c r="O92" s="10"/>
      <c r="P92" s="5"/>
      <c r="Q92" s="5"/>
      <c r="R92" s="8"/>
      <c r="T92" s="5"/>
      <c r="U92" s="5"/>
      <c r="V92" s="5"/>
      <c r="W92" s="7"/>
      <c r="X92" s="5"/>
      <c r="Z92" s="6"/>
    </row>
    <row r="93" spans="1:26" ht="15.75" customHeight="1" x14ac:dyDescent="0.25">
      <c r="A93" s="7"/>
      <c r="G93" s="14"/>
      <c r="H93" s="4"/>
      <c r="I93" s="10"/>
      <c r="J93" s="10"/>
      <c r="K93" s="10"/>
      <c r="L93" s="10"/>
      <c r="M93" s="10"/>
      <c r="N93" s="10"/>
      <c r="O93" s="10"/>
      <c r="P93" s="5"/>
      <c r="Q93" s="5"/>
      <c r="R93" s="8"/>
      <c r="T93" s="5"/>
      <c r="U93" s="5"/>
      <c r="V93" s="5"/>
      <c r="W93" s="7"/>
      <c r="X93" s="5"/>
      <c r="Z93" s="6"/>
    </row>
    <row r="94" spans="1:26" ht="15.75" customHeight="1" x14ac:dyDescent="0.25">
      <c r="A94" s="7"/>
      <c r="G94" s="4"/>
      <c r="H94" s="4"/>
      <c r="I94" s="10"/>
      <c r="J94" s="10"/>
      <c r="K94" s="10"/>
      <c r="L94" s="10"/>
      <c r="M94" s="10"/>
      <c r="N94" s="10"/>
      <c r="O94" s="10"/>
      <c r="P94" s="5"/>
      <c r="Q94" s="5"/>
      <c r="T94" s="5"/>
      <c r="U94" s="5"/>
      <c r="V94" s="5"/>
      <c r="W94" s="7"/>
      <c r="X94" s="5"/>
      <c r="Z94" s="7"/>
    </row>
    <row r="95" spans="1:26" ht="15.75" customHeight="1" x14ac:dyDescent="0.25">
      <c r="A95" s="7"/>
      <c r="G95" s="4"/>
      <c r="H95" s="4"/>
      <c r="I95" s="10"/>
      <c r="J95" s="10"/>
      <c r="K95" s="10"/>
      <c r="L95" s="10"/>
      <c r="M95" s="10"/>
      <c r="N95" s="10"/>
      <c r="O95" s="10"/>
      <c r="P95" s="5"/>
      <c r="Q95" s="5"/>
      <c r="T95" s="5"/>
      <c r="U95" s="5"/>
      <c r="V95" s="5"/>
      <c r="W95" s="7"/>
      <c r="X95" s="5"/>
      <c r="Y95" s="5"/>
      <c r="Z95" s="6"/>
    </row>
    <row r="96" spans="1:26" ht="15.75" customHeight="1" x14ac:dyDescent="0.25">
      <c r="A96" s="7"/>
      <c r="G96" s="4"/>
      <c r="H96" s="4"/>
      <c r="I96" s="10"/>
      <c r="J96" s="10"/>
      <c r="K96" s="10"/>
      <c r="L96" s="10"/>
      <c r="M96" s="10"/>
      <c r="N96" s="10"/>
      <c r="O96" s="10"/>
      <c r="P96" s="5"/>
      <c r="Q96" s="5"/>
      <c r="R96" s="8"/>
      <c r="T96" s="5"/>
      <c r="U96" s="5"/>
      <c r="V96" s="5"/>
      <c r="W96" s="7"/>
      <c r="X96" s="5"/>
      <c r="Y96" s="6"/>
      <c r="Z96" s="7"/>
    </row>
    <row r="97" spans="1:28" ht="15.75" customHeight="1" x14ac:dyDescent="0.25">
      <c r="A97" s="7"/>
      <c r="G97" s="4"/>
      <c r="H97" s="4"/>
      <c r="I97" s="10"/>
      <c r="J97" s="10"/>
      <c r="K97" s="10"/>
      <c r="L97" s="10"/>
      <c r="M97" s="10"/>
      <c r="N97" s="10"/>
      <c r="O97" s="10"/>
      <c r="P97" s="5"/>
      <c r="Q97" s="5"/>
      <c r="R97" s="8"/>
      <c r="T97" s="5"/>
      <c r="U97" s="5"/>
      <c r="V97" s="5"/>
      <c r="W97" s="7"/>
      <c r="X97" s="5"/>
      <c r="Y97" s="6"/>
      <c r="Z97" s="6"/>
    </row>
    <row r="98" spans="1:28" ht="15.75" customHeight="1" x14ac:dyDescent="0.25">
      <c r="A98" s="7"/>
      <c r="G98" s="4"/>
      <c r="H98" s="4"/>
      <c r="I98" s="10"/>
      <c r="J98" s="10"/>
      <c r="K98" s="10"/>
      <c r="L98" s="10"/>
      <c r="M98" s="10"/>
      <c r="N98" s="10"/>
      <c r="O98" s="10"/>
      <c r="P98" s="5"/>
      <c r="Q98" s="5"/>
      <c r="T98" s="5"/>
      <c r="U98" s="5"/>
      <c r="V98" s="5"/>
      <c r="W98" s="7"/>
      <c r="X98" s="5"/>
      <c r="Z98" s="6"/>
    </row>
    <row r="99" spans="1:28" ht="15.75" customHeight="1" x14ac:dyDescent="0.25">
      <c r="A99" s="7"/>
      <c r="G99" s="4"/>
      <c r="H99" s="4"/>
      <c r="I99" s="10"/>
      <c r="J99" s="10"/>
      <c r="K99" s="10"/>
      <c r="L99" s="10"/>
      <c r="M99" s="10"/>
      <c r="N99" s="10"/>
      <c r="O99" s="10"/>
      <c r="P99" s="5"/>
      <c r="Q99" s="5"/>
      <c r="T99" s="5"/>
      <c r="U99" s="5"/>
      <c r="V99" s="5"/>
      <c r="W99" s="7"/>
      <c r="X99" s="5"/>
      <c r="Z99" s="6"/>
    </row>
    <row r="100" spans="1:28" ht="15.75" customHeight="1" x14ac:dyDescent="0.25">
      <c r="A100" s="7"/>
      <c r="G100" s="4"/>
      <c r="H100" s="4"/>
      <c r="I100" s="10"/>
      <c r="J100" s="10"/>
      <c r="K100" s="10"/>
      <c r="L100" s="10"/>
      <c r="M100" s="10"/>
      <c r="N100" s="10"/>
      <c r="O100" s="10"/>
      <c r="P100" s="12"/>
      <c r="Q100" s="5"/>
      <c r="T100" s="7"/>
      <c r="U100" s="7"/>
      <c r="V100" s="7"/>
      <c r="W100" s="7"/>
      <c r="X100" s="5"/>
      <c r="Z100" s="6"/>
    </row>
    <row r="101" spans="1:28" ht="15.75" customHeight="1" x14ac:dyDescent="0.25">
      <c r="A101" s="7"/>
      <c r="G101" s="4"/>
      <c r="H101" s="4"/>
      <c r="I101" s="12"/>
      <c r="J101" s="5"/>
      <c r="K101" s="10"/>
      <c r="L101" s="5"/>
      <c r="M101" s="5"/>
      <c r="N101" s="10"/>
      <c r="O101" s="10"/>
      <c r="P101" s="5"/>
      <c r="Q101" s="5"/>
      <c r="T101" s="7"/>
      <c r="U101" s="7"/>
      <c r="V101" s="7"/>
      <c r="W101" s="7"/>
      <c r="X101" s="5"/>
      <c r="Z101" s="6"/>
    </row>
    <row r="102" spans="1:28" ht="15.75" customHeight="1" x14ac:dyDescent="0.25">
      <c r="A102" s="7"/>
      <c r="G102" s="4"/>
      <c r="H102" s="4"/>
      <c r="I102" s="12"/>
      <c r="J102" s="5"/>
      <c r="K102" s="5"/>
      <c r="L102" s="5"/>
      <c r="M102" s="5"/>
      <c r="N102" s="5"/>
      <c r="O102" s="10"/>
      <c r="P102" s="5"/>
      <c r="Q102" s="5"/>
      <c r="T102" s="7"/>
      <c r="U102" s="7"/>
      <c r="V102" s="7"/>
      <c r="W102" s="7"/>
      <c r="X102" s="5"/>
      <c r="Z102" s="6"/>
    </row>
    <row r="103" spans="1:28" ht="15.75" customHeight="1" x14ac:dyDescent="0.25">
      <c r="A103" s="7"/>
      <c r="G103" s="4"/>
      <c r="H103" s="4"/>
      <c r="I103" s="12"/>
      <c r="J103" s="5"/>
      <c r="K103" s="5"/>
      <c r="L103" s="12"/>
      <c r="M103" s="5"/>
      <c r="N103" s="5"/>
      <c r="O103" s="10"/>
      <c r="P103" s="5"/>
      <c r="Q103" s="5"/>
      <c r="T103" s="7"/>
      <c r="U103" s="7"/>
      <c r="V103" s="7"/>
      <c r="W103" s="7"/>
      <c r="X103" s="5"/>
      <c r="Z103" s="6"/>
    </row>
    <row r="104" spans="1:28" ht="15.75" customHeight="1" x14ac:dyDescent="0.25">
      <c r="A104" s="7"/>
      <c r="G104" s="4"/>
      <c r="H104" s="4"/>
      <c r="I104" s="12"/>
      <c r="J104" s="5"/>
      <c r="K104" s="5"/>
      <c r="L104" s="5"/>
      <c r="M104" s="5"/>
      <c r="N104" s="5"/>
      <c r="O104" s="10"/>
      <c r="P104" s="5"/>
      <c r="Q104" s="5"/>
      <c r="S104" s="7"/>
      <c r="T104" s="7"/>
      <c r="U104" s="7"/>
      <c r="V104" s="7"/>
      <c r="W104" s="7"/>
      <c r="X104" s="5"/>
      <c r="Y104" s="7"/>
      <c r="Z104" s="6"/>
      <c r="AA104" s="5"/>
      <c r="AB104" s="7"/>
    </row>
    <row r="105" spans="1:28" ht="15.75" customHeight="1" x14ac:dyDescent="0.25">
      <c r="A105" s="7"/>
      <c r="G105" s="4"/>
      <c r="H105" s="4"/>
      <c r="I105" s="12"/>
      <c r="J105" s="5"/>
      <c r="K105" s="5"/>
      <c r="L105" s="5"/>
      <c r="M105" s="5"/>
      <c r="N105" s="5"/>
      <c r="O105" s="10"/>
      <c r="P105" s="5"/>
      <c r="Q105" s="5"/>
      <c r="S105" s="7"/>
      <c r="T105" s="7"/>
      <c r="U105" s="7"/>
      <c r="V105" s="7"/>
      <c r="W105" s="7"/>
      <c r="X105" s="5"/>
      <c r="Y105" s="7"/>
      <c r="Z105" s="6"/>
      <c r="AA105" s="5"/>
      <c r="AB105" s="7"/>
    </row>
    <row r="106" spans="1:28" ht="15.75" customHeight="1" x14ac:dyDescent="0.25">
      <c r="A106" s="7"/>
      <c r="G106" s="11"/>
      <c r="H106" s="4"/>
      <c r="I106" s="12"/>
      <c r="J106" s="5"/>
      <c r="K106" s="5"/>
      <c r="L106" s="5"/>
      <c r="M106" s="12"/>
      <c r="N106" s="12"/>
      <c r="O106" s="10"/>
      <c r="P106" s="5"/>
      <c r="Q106" s="5"/>
      <c r="R106" s="8"/>
      <c r="S106" s="7"/>
      <c r="T106" s="7"/>
      <c r="U106" s="7"/>
      <c r="V106" s="5"/>
      <c r="W106" s="7"/>
      <c r="X106" s="5"/>
      <c r="Y106" s="7"/>
      <c r="Z106" s="6"/>
      <c r="AA106" s="6"/>
      <c r="AB106" s="7"/>
    </row>
    <row r="107" spans="1:28" ht="15.75" customHeight="1" x14ac:dyDescent="0.25">
      <c r="A107" s="7"/>
      <c r="G107" s="4"/>
      <c r="H107" s="4"/>
      <c r="I107" s="12"/>
      <c r="J107" s="5"/>
      <c r="K107" s="5"/>
      <c r="L107" s="5"/>
      <c r="M107" s="5"/>
      <c r="N107" s="5"/>
      <c r="O107" s="10"/>
      <c r="P107" s="5"/>
      <c r="Q107" s="5"/>
      <c r="R107" s="8"/>
      <c r="S107" s="7"/>
      <c r="T107" s="5"/>
      <c r="U107" s="5"/>
      <c r="V107" s="5"/>
      <c r="W107" s="7"/>
      <c r="X107" s="5"/>
      <c r="Y107" s="7"/>
      <c r="Z107" s="6"/>
      <c r="AA107" s="7"/>
      <c r="AB107" s="7"/>
    </row>
    <row r="108" spans="1:28" ht="15.75" customHeight="1" x14ac:dyDescent="0.25">
      <c r="A108" s="7"/>
      <c r="G108" s="4"/>
      <c r="H108" s="4"/>
      <c r="I108" s="12"/>
      <c r="J108" s="5"/>
      <c r="K108" s="5"/>
      <c r="L108" s="5"/>
      <c r="M108" s="5"/>
      <c r="N108" s="5"/>
      <c r="O108" s="10"/>
      <c r="P108" s="5"/>
      <c r="Q108" s="5"/>
      <c r="R108" s="8"/>
      <c r="S108" s="7"/>
      <c r="T108" s="5"/>
      <c r="U108" s="5"/>
      <c r="V108" s="5"/>
      <c r="W108" s="7"/>
      <c r="X108" s="5"/>
      <c r="Y108" s="7"/>
      <c r="Z108" s="6"/>
      <c r="AA108" s="7"/>
      <c r="AB108" s="7"/>
    </row>
    <row r="109" spans="1:28" ht="15.75" customHeight="1" x14ac:dyDescent="0.25">
      <c r="A109" s="7"/>
      <c r="G109" s="4"/>
      <c r="H109" s="4"/>
      <c r="I109" s="12"/>
      <c r="J109" s="5"/>
      <c r="K109" s="5"/>
      <c r="L109" s="5"/>
      <c r="M109" s="5"/>
      <c r="N109" s="5"/>
      <c r="O109" s="10"/>
      <c r="P109" s="5"/>
      <c r="Q109" s="5"/>
      <c r="R109" s="8"/>
      <c r="S109" s="7"/>
      <c r="T109" s="5"/>
      <c r="U109" s="5"/>
      <c r="V109" s="5"/>
      <c r="W109" s="7"/>
      <c r="X109" s="5"/>
      <c r="Y109" s="7"/>
      <c r="Z109" s="6"/>
      <c r="AA109" s="5"/>
      <c r="AB109" s="7"/>
    </row>
    <row r="110" spans="1:28" ht="15.75" customHeight="1" x14ac:dyDescent="0.25">
      <c r="A110" s="7"/>
      <c r="G110" s="4"/>
      <c r="H110" s="4"/>
      <c r="I110" s="12"/>
      <c r="J110" s="5"/>
      <c r="K110" s="12"/>
      <c r="L110" s="5"/>
      <c r="M110" s="12"/>
      <c r="N110" s="5"/>
      <c r="O110" s="5"/>
      <c r="P110" s="5"/>
      <c r="Q110" s="5"/>
      <c r="R110" s="8"/>
      <c r="S110" s="7"/>
      <c r="T110" s="5"/>
      <c r="U110" s="5"/>
      <c r="V110" s="5"/>
      <c r="W110" s="7"/>
      <c r="X110" s="5"/>
      <c r="Y110" s="7"/>
      <c r="Z110" s="7"/>
      <c r="AA110" s="7"/>
    </row>
    <row r="111" spans="1:28" ht="15.75" customHeight="1" x14ac:dyDescent="0.25">
      <c r="A111" s="7"/>
      <c r="G111" s="4"/>
      <c r="H111" s="4"/>
      <c r="I111" s="12"/>
      <c r="J111" s="5"/>
      <c r="K111" s="5"/>
      <c r="L111" s="5"/>
      <c r="M111" s="5"/>
      <c r="N111" s="5"/>
      <c r="O111" s="10"/>
      <c r="P111" s="5"/>
      <c r="Q111" s="5"/>
      <c r="R111" s="8"/>
      <c r="S111" s="7"/>
      <c r="T111" s="5"/>
      <c r="U111" s="5"/>
      <c r="V111" s="5"/>
      <c r="W111" s="7"/>
      <c r="X111" s="5"/>
      <c r="Y111" s="7"/>
      <c r="Z111" s="7"/>
      <c r="AA111" s="7"/>
    </row>
    <row r="112" spans="1:28" ht="15.75" customHeight="1" x14ac:dyDescent="0.25">
      <c r="A112" s="7"/>
      <c r="G112" s="4"/>
      <c r="H112" s="4"/>
      <c r="I112" s="12"/>
      <c r="J112" s="5"/>
      <c r="K112" s="5"/>
      <c r="L112" s="5"/>
      <c r="M112" s="5"/>
      <c r="N112" s="5"/>
      <c r="O112" s="10"/>
      <c r="P112" s="5"/>
      <c r="Q112" s="5"/>
      <c r="R112" s="8"/>
      <c r="S112" s="7"/>
      <c r="T112" s="5"/>
      <c r="U112" s="5"/>
      <c r="V112" s="5"/>
      <c r="W112" s="7"/>
      <c r="X112" s="5"/>
      <c r="Y112" s="5"/>
      <c r="Z112" s="6"/>
      <c r="AA112" s="5"/>
      <c r="AB112" s="7"/>
    </row>
    <row r="113" spans="1:28" ht="15.75" customHeight="1" x14ac:dyDescent="0.25">
      <c r="A113" s="7"/>
      <c r="G113" s="4"/>
      <c r="H113" s="4"/>
      <c r="I113" s="12"/>
      <c r="J113" s="5"/>
      <c r="K113" s="5"/>
      <c r="L113" s="5"/>
      <c r="M113" s="5"/>
      <c r="N113" s="5"/>
      <c r="O113" s="10"/>
      <c r="P113" s="5"/>
      <c r="Q113" s="5"/>
      <c r="R113" s="8"/>
      <c r="S113" s="7"/>
      <c r="T113" s="5"/>
      <c r="U113" s="5"/>
      <c r="V113" s="5"/>
      <c r="W113" s="7"/>
      <c r="X113" s="5"/>
      <c r="Z113" s="7"/>
      <c r="AA113" s="5"/>
      <c r="AB113" s="7"/>
    </row>
    <row r="114" spans="1:28" ht="15.75" customHeight="1" x14ac:dyDescent="0.25">
      <c r="A114" s="7"/>
      <c r="G114" s="4"/>
      <c r="H114" s="4"/>
      <c r="I114" s="12"/>
      <c r="J114" s="5"/>
      <c r="K114" s="5"/>
      <c r="L114" s="5"/>
      <c r="M114" s="5"/>
      <c r="N114" s="5"/>
      <c r="O114" s="10"/>
      <c r="P114" s="5"/>
      <c r="Q114" s="5"/>
      <c r="R114" s="8"/>
      <c r="S114" s="7"/>
      <c r="T114" s="5"/>
      <c r="U114" s="5"/>
      <c r="V114" s="5"/>
      <c r="W114" s="7"/>
      <c r="X114" s="5"/>
      <c r="Z114" s="7"/>
      <c r="AA114" s="7"/>
    </row>
    <row r="115" spans="1:28" ht="15.75" customHeight="1" x14ac:dyDescent="0.25">
      <c r="A115" s="7"/>
      <c r="G115" s="4"/>
      <c r="H115" s="4"/>
      <c r="I115" s="12"/>
      <c r="J115" s="5"/>
      <c r="K115" s="5"/>
      <c r="L115" s="5"/>
      <c r="M115" s="5"/>
      <c r="N115" s="5"/>
      <c r="O115" s="10"/>
      <c r="P115" s="5"/>
      <c r="Q115" s="5"/>
      <c r="R115" s="8"/>
      <c r="S115" s="7"/>
      <c r="T115" s="5"/>
      <c r="U115" s="5"/>
      <c r="V115" s="5"/>
      <c r="W115" s="7"/>
      <c r="X115" s="5"/>
      <c r="Z115" s="7"/>
      <c r="AA115" s="7"/>
    </row>
    <row r="116" spans="1:28" ht="15.75" customHeight="1" x14ac:dyDescent="0.25">
      <c r="A116" s="7"/>
      <c r="G116" s="4"/>
      <c r="H116" s="4"/>
      <c r="I116" s="12"/>
      <c r="J116" s="5"/>
      <c r="K116" s="5"/>
      <c r="L116" s="5"/>
      <c r="M116" s="5"/>
      <c r="N116" s="5"/>
      <c r="O116" s="10"/>
      <c r="P116" s="5"/>
      <c r="Q116" s="5"/>
      <c r="R116" s="8"/>
      <c r="S116" s="7"/>
      <c r="T116" s="5"/>
      <c r="U116" s="5"/>
      <c r="V116" s="5"/>
      <c r="W116" s="7"/>
      <c r="X116" s="5"/>
      <c r="Z116" s="7"/>
      <c r="AA116" s="7"/>
    </row>
    <row r="117" spans="1:28" ht="15.75" customHeight="1" x14ac:dyDescent="0.25">
      <c r="A117" s="7"/>
      <c r="G117" s="4"/>
      <c r="H117" s="4"/>
      <c r="I117" s="12"/>
      <c r="J117" s="5"/>
      <c r="K117" s="5"/>
      <c r="L117" s="5"/>
      <c r="M117" s="5"/>
      <c r="N117" s="5"/>
      <c r="O117" s="10"/>
      <c r="P117" s="5"/>
      <c r="Q117" s="5"/>
      <c r="R117" s="8"/>
      <c r="S117" s="7"/>
      <c r="T117" s="5"/>
      <c r="U117" s="5"/>
      <c r="V117" s="5"/>
      <c r="W117" s="5"/>
      <c r="X117" s="5"/>
      <c r="Z117" s="6"/>
      <c r="AA117" s="5"/>
      <c r="AB117" s="7"/>
    </row>
    <row r="118" spans="1:28" ht="15.75" customHeight="1" x14ac:dyDescent="0.25">
      <c r="A118" s="7"/>
      <c r="G118" s="4"/>
      <c r="H118" s="4"/>
      <c r="I118" s="12"/>
      <c r="J118" s="5"/>
      <c r="K118" s="5"/>
      <c r="L118" s="5"/>
      <c r="M118" s="5"/>
      <c r="N118" s="5"/>
      <c r="O118" s="5"/>
      <c r="P118" s="5"/>
      <c r="Q118" s="5"/>
      <c r="R118" s="8"/>
      <c r="S118" s="7"/>
      <c r="T118" s="5"/>
      <c r="U118" s="5"/>
      <c r="V118" s="5"/>
      <c r="W118" s="5"/>
      <c r="X118" s="5"/>
      <c r="Z118" s="7"/>
      <c r="AA118" s="5"/>
    </row>
    <row r="119" spans="1:28" ht="15.75" customHeight="1" x14ac:dyDescent="0.25">
      <c r="A119" s="7"/>
      <c r="G119" s="4"/>
      <c r="H119" s="4"/>
      <c r="I119" s="12"/>
      <c r="J119" s="5"/>
      <c r="K119" s="5"/>
      <c r="L119" s="5"/>
      <c r="M119" s="5"/>
      <c r="N119" s="5"/>
      <c r="O119" s="5"/>
      <c r="P119" s="5"/>
      <c r="Q119" s="5"/>
      <c r="R119" s="8"/>
      <c r="S119" s="7"/>
      <c r="T119" s="5"/>
      <c r="U119" s="5"/>
      <c r="V119" s="5"/>
      <c r="W119" s="5"/>
      <c r="X119" s="5"/>
      <c r="Z119" s="7"/>
      <c r="AA119" s="5"/>
      <c r="AB119" s="7"/>
    </row>
    <row r="120" spans="1:28" ht="15.75" customHeight="1" x14ac:dyDescent="0.25">
      <c r="A120" s="7"/>
      <c r="G120" s="4"/>
      <c r="H120" s="4"/>
      <c r="I120" s="12"/>
      <c r="J120" s="12"/>
      <c r="K120" s="5"/>
      <c r="L120" s="5"/>
      <c r="M120" s="5"/>
      <c r="N120" s="5"/>
      <c r="O120" s="5"/>
      <c r="P120" s="5"/>
      <c r="Q120" s="5"/>
      <c r="R120" s="5"/>
      <c r="S120" s="7"/>
      <c r="T120" s="7"/>
      <c r="U120" s="7"/>
      <c r="V120" s="7"/>
      <c r="W120" s="7"/>
      <c r="X120" s="5"/>
      <c r="Z120" s="6"/>
      <c r="AA120" s="5"/>
      <c r="AB120" s="7"/>
    </row>
    <row r="121" spans="1:28" ht="15.75" customHeight="1" x14ac:dyDescent="0.25">
      <c r="A121" s="7"/>
      <c r="G121" s="4"/>
      <c r="H121" s="4"/>
      <c r="I121" s="5"/>
      <c r="J121" s="5"/>
      <c r="K121" s="5"/>
      <c r="L121" s="5"/>
      <c r="M121" s="5"/>
      <c r="N121" s="5"/>
      <c r="O121" s="5"/>
      <c r="P121" s="5"/>
      <c r="Q121" s="5"/>
      <c r="R121" s="8"/>
      <c r="S121" s="7"/>
      <c r="T121" s="7"/>
      <c r="U121" s="7"/>
      <c r="V121" s="7"/>
      <c r="W121" s="7"/>
      <c r="X121" s="5"/>
      <c r="Y121" s="5"/>
      <c r="Z121" s="6"/>
      <c r="AA121" s="5"/>
      <c r="AB121" s="7"/>
    </row>
    <row r="122" spans="1:28" ht="15.75" customHeight="1" x14ac:dyDescent="0.25">
      <c r="A122" s="7"/>
      <c r="G122" s="4"/>
      <c r="H122" s="4"/>
      <c r="I122" s="12"/>
      <c r="J122" s="12"/>
      <c r="K122" s="5"/>
      <c r="L122" s="5"/>
      <c r="M122" s="5"/>
      <c r="N122" s="5"/>
      <c r="O122" s="5"/>
      <c r="P122" s="5"/>
      <c r="Q122" s="5"/>
      <c r="R122" s="8"/>
      <c r="S122" s="7"/>
      <c r="T122" s="5"/>
      <c r="U122" s="5"/>
      <c r="V122" s="5"/>
      <c r="W122" s="7"/>
      <c r="X122" s="5"/>
      <c r="Z122" s="7"/>
      <c r="AA122" s="7"/>
      <c r="AB122" s="7"/>
    </row>
    <row r="123" spans="1:28" ht="15.75" customHeight="1" x14ac:dyDescent="0.25">
      <c r="A123" s="7"/>
      <c r="G123" s="4"/>
      <c r="H123" s="4"/>
      <c r="I123" s="5"/>
      <c r="J123" s="12"/>
      <c r="K123" s="5"/>
      <c r="L123" s="5"/>
      <c r="M123" s="5"/>
      <c r="N123" s="5"/>
      <c r="O123" s="5"/>
      <c r="P123" s="5"/>
      <c r="Q123" s="5"/>
      <c r="R123" s="8"/>
      <c r="S123" s="7"/>
      <c r="T123" s="5"/>
      <c r="U123" s="5"/>
      <c r="V123" s="5"/>
      <c r="W123" s="7"/>
      <c r="X123" s="5"/>
      <c r="Z123" s="6"/>
      <c r="AA123" s="7"/>
      <c r="AB123" s="7"/>
    </row>
    <row r="124" spans="1:28" x14ac:dyDescent="0.25">
      <c r="A124" s="7"/>
      <c r="G124" s="4"/>
      <c r="H124" s="4"/>
      <c r="I124" s="5"/>
      <c r="J124" s="5"/>
      <c r="K124" s="5"/>
      <c r="L124" s="5"/>
      <c r="M124" s="5"/>
      <c r="N124" s="5"/>
      <c r="O124" s="5"/>
      <c r="P124" s="5"/>
      <c r="Q124" s="5"/>
      <c r="R124" s="8"/>
      <c r="S124" s="7"/>
      <c r="T124" s="7"/>
      <c r="U124" s="7"/>
      <c r="V124" s="7"/>
      <c r="W124" s="7"/>
      <c r="X124" s="5"/>
      <c r="Z124" s="6"/>
      <c r="AA124" s="5"/>
      <c r="AB124" s="7"/>
    </row>
    <row r="125" spans="1:28" ht="15.75" customHeight="1" x14ac:dyDescent="0.25">
      <c r="A125" s="7"/>
      <c r="G125" s="4"/>
      <c r="H125" s="4"/>
      <c r="I125" s="12"/>
      <c r="J125" s="5"/>
      <c r="K125" s="5"/>
      <c r="L125" s="5"/>
      <c r="M125" s="5"/>
      <c r="N125" s="5"/>
      <c r="O125" s="5"/>
      <c r="P125" s="5"/>
      <c r="Q125" s="5"/>
      <c r="R125" s="8"/>
      <c r="S125" s="7"/>
      <c r="T125" s="7"/>
      <c r="U125" s="7"/>
      <c r="V125" s="7"/>
      <c r="W125" s="7"/>
      <c r="X125" s="5"/>
      <c r="Z125" s="6"/>
      <c r="AA125" s="5"/>
      <c r="AB125" s="7"/>
    </row>
    <row r="126" spans="1:28" ht="15.75" customHeight="1" x14ac:dyDescent="0.25">
      <c r="A126" s="7"/>
      <c r="G126" s="4"/>
      <c r="H126" s="4"/>
      <c r="I126" s="12"/>
      <c r="J126" s="5"/>
      <c r="K126" s="5"/>
      <c r="L126" s="5"/>
      <c r="M126" s="5"/>
      <c r="N126" s="5"/>
      <c r="O126" s="5"/>
      <c r="P126" s="5"/>
      <c r="Q126" s="5"/>
      <c r="R126" s="8"/>
      <c r="S126" s="7"/>
      <c r="T126" s="5"/>
      <c r="U126" s="5"/>
      <c r="V126" s="5"/>
      <c r="W126" s="7"/>
      <c r="X126" s="5"/>
      <c r="Z126" s="6"/>
      <c r="AA126" s="7"/>
    </row>
    <row r="127" spans="1:28" ht="15.75" customHeight="1" x14ac:dyDescent="0.25">
      <c r="A127" s="7"/>
      <c r="G127" s="4"/>
      <c r="H127" s="4"/>
      <c r="I127" s="12"/>
      <c r="J127" s="5"/>
      <c r="K127" s="5"/>
      <c r="L127" s="5"/>
      <c r="M127" s="5"/>
      <c r="N127" s="5"/>
      <c r="O127" s="5"/>
      <c r="P127" s="5"/>
      <c r="Q127" s="5"/>
      <c r="R127" s="8"/>
      <c r="S127" s="7"/>
      <c r="T127" s="5"/>
      <c r="U127" s="5"/>
      <c r="V127" s="5"/>
      <c r="W127" s="7"/>
      <c r="X127" s="5"/>
      <c r="Z127" s="7"/>
      <c r="AA127" s="7"/>
    </row>
    <row r="128" spans="1:28" ht="15.75" customHeight="1" x14ac:dyDescent="0.25">
      <c r="A128" s="7"/>
      <c r="G128" s="4"/>
      <c r="H128" s="4"/>
      <c r="I128" s="12"/>
      <c r="J128" s="5"/>
      <c r="K128" s="5"/>
      <c r="L128" s="5"/>
      <c r="M128" s="5"/>
      <c r="N128" s="5"/>
      <c r="O128" s="5"/>
      <c r="P128" s="5"/>
      <c r="Q128" s="5"/>
      <c r="R128" s="8"/>
      <c r="S128" s="7"/>
      <c r="T128" s="5"/>
      <c r="U128" s="5"/>
      <c r="V128" s="5"/>
      <c r="W128" s="7"/>
      <c r="X128" s="5"/>
      <c r="Z128" s="6"/>
      <c r="AA128" s="7"/>
    </row>
    <row r="129" spans="1:28" ht="15.75" customHeight="1" x14ac:dyDescent="0.25">
      <c r="A129" s="7"/>
      <c r="G129" s="4"/>
      <c r="H129" s="4"/>
      <c r="I129" s="12"/>
      <c r="J129" s="5"/>
      <c r="K129" s="5"/>
      <c r="L129" s="5"/>
      <c r="M129" s="5"/>
      <c r="N129" s="5"/>
      <c r="O129" s="5"/>
      <c r="P129" s="5"/>
      <c r="Q129" s="5"/>
      <c r="R129" s="8"/>
      <c r="S129" s="7"/>
      <c r="T129" s="5"/>
      <c r="U129" s="5"/>
      <c r="V129" s="5"/>
      <c r="W129" s="7"/>
      <c r="X129" s="5"/>
      <c r="Z129" s="6"/>
      <c r="AA129" s="7"/>
    </row>
    <row r="130" spans="1:28" ht="15.75" customHeight="1" x14ac:dyDescent="0.25">
      <c r="A130" s="7"/>
      <c r="G130" s="4"/>
      <c r="H130" s="4"/>
      <c r="I130" s="12"/>
      <c r="J130" s="5"/>
      <c r="K130" s="5"/>
      <c r="L130" s="5"/>
      <c r="M130" s="5"/>
      <c r="N130" s="5"/>
      <c r="O130" s="5"/>
      <c r="P130" s="5"/>
      <c r="Q130" s="5"/>
      <c r="R130" s="8"/>
      <c r="S130" s="7"/>
      <c r="T130" s="5"/>
      <c r="U130" s="5"/>
      <c r="V130" s="5"/>
      <c r="W130" s="7"/>
      <c r="X130" s="5"/>
      <c r="Z130" s="7"/>
      <c r="AA130" s="7"/>
    </row>
    <row r="131" spans="1:28" ht="15.75" customHeight="1" x14ac:dyDescent="0.25">
      <c r="A131" s="7"/>
      <c r="G131" s="4"/>
      <c r="H131" s="4"/>
      <c r="I131" s="12"/>
      <c r="J131" s="5"/>
      <c r="K131" s="5"/>
      <c r="L131" s="5"/>
      <c r="M131" s="5"/>
      <c r="N131" s="5"/>
      <c r="O131" s="5"/>
      <c r="P131" s="5"/>
      <c r="Q131" s="5"/>
      <c r="R131" s="8"/>
      <c r="S131" s="7"/>
      <c r="T131" s="5"/>
      <c r="U131" s="5"/>
      <c r="V131" s="5"/>
      <c r="W131" s="7"/>
      <c r="X131" s="5"/>
      <c r="Z131" s="6"/>
      <c r="AA131" s="7"/>
    </row>
    <row r="132" spans="1:28" ht="15.75" customHeight="1" x14ac:dyDescent="0.25">
      <c r="A132" s="7"/>
      <c r="G132" s="4"/>
      <c r="H132" s="4"/>
      <c r="I132" s="5"/>
      <c r="J132" s="5"/>
      <c r="K132" s="5"/>
      <c r="L132" s="5"/>
      <c r="M132" s="5"/>
      <c r="N132" s="5"/>
      <c r="O132" s="5"/>
      <c r="P132" s="5"/>
      <c r="Q132" s="5"/>
      <c r="R132" s="8"/>
      <c r="S132" s="7"/>
      <c r="T132" s="5"/>
      <c r="U132" s="5"/>
      <c r="V132" s="5"/>
      <c r="W132" s="7"/>
      <c r="X132" s="5"/>
      <c r="Z132" s="6"/>
      <c r="AA132" s="7"/>
    </row>
    <row r="133" spans="1:28" ht="15.75" customHeight="1" x14ac:dyDescent="0.25">
      <c r="A133" s="7"/>
      <c r="G133" s="4"/>
      <c r="H133" s="4"/>
      <c r="I133" s="5"/>
      <c r="J133" s="5"/>
      <c r="K133" s="5"/>
      <c r="L133" s="5"/>
      <c r="M133" s="5"/>
      <c r="N133" s="5"/>
      <c r="O133" s="5"/>
      <c r="P133" s="5"/>
      <c r="Q133" s="5"/>
      <c r="R133" s="8"/>
      <c r="S133" s="7"/>
      <c r="T133" s="5"/>
      <c r="U133" s="5"/>
      <c r="V133" s="5"/>
      <c r="W133" s="7"/>
      <c r="X133" s="5"/>
      <c r="Z133" s="7"/>
      <c r="AA133" s="7"/>
    </row>
    <row r="134" spans="1:28" ht="15.75" customHeight="1" x14ac:dyDescent="0.25">
      <c r="A134" s="7"/>
      <c r="G134" s="4"/>
      <c r="H134" s="4"/>
      <c r="I134" s="5"/>
      <c r="J134" s="5"/>
      <c r="K134" s="5"/>
      <c r="L134" s="5"/>
      <c r="M134" s="5"/>
      <c r="N134" s="5"/>
      <c r="O134" s="5"/>
      <c r="P134" s="5"/>
      <c r="Q134" s="5"/>
      <c r="R134" s="8"/>
      <c r="S134" s="7"/>
      <c r="T134" s="5"/>
      <c r="U134" s="5"/>
      <c r="V134" s="5"/>
      <c r="W134" s="7"/>
      <c r="X134" s="5"/>
      <c r="Z134" s="6"/>
      <c r="AA134" s="7"/>
    </row>
    <row r="135" spans="1:28" ht="15.75" customHeight="1" x14ac:dyDescent="0.25">
      <c r="A135" s="7"/>
      <c r="G135" s="4"/>
      <c r="H135" s="4"/>
      <c r="I135" s="5"/>
      <c r="J135" s="5"/>
      <c r="K135" s="5"/>
      <c r="L135" s="5"/>
      <c r="M135" s="5"/>
      <c r="N135" s="5"/>
      <c r="O135" s="5"/>
      <c r="P135" s="5"/>
      <c r="Q135" s="5"/>
      <c r="R135" s="8"/>
      <c r="S135" s="7"/>
      <c r="T135" s="5"/>
      <c r="U135" s="5"/>
      <c r="V135" s="5"/>
      <c r="W135" s="7"/>
      <c r="X135" s="5"/>
      <c r="Z135" s="6"/>
      <c r="AA135" s="7"/>
    </row>
    <row r="136" spans="1:28" ht="15.75" customHeight="1" x14ac:dyDescent="0.25">
      <c r="A136" s="7"/>
      <c r="G136" s="4"/>
      <c r="H136" s="4"/>
      <c r="I136" s="5"/>
      <c r="J136" s="5"/>
      <c r="K136" s="5"/>
      <c r="L136" s="5"/>
      <c r="M136" s="5"/>
      <c r="N136" s="5"/>
      <c r="O136" s="5"/>
      <c r="P136" s="5"/>
      <c r="Q136" s="5"/>
      <c r="R136" s="8"/>
      <c r="S136" s="7"/>
      <c r="T136" s="5"/>
      <c r="U136" s="5"/>
      <c r="V136" s="5"/>
      <c r="W136" s="7"/>
      <c r="X136" s="5"/>
      <c r="Z136" s="7"/>
      <c r="AA136" s="7"/>
    </row>
    <row r="137" spans="1:28" ht="15.75" customHeight="1" x14ac:dyDescent="0.25">
      <c r="A137" s="7"/>
      <c r="G137" s="4"/>
      <c r="H137" s="4"/>
      <c r="I137" s="5"/>
      <c r="J137" s="5"/>
      <c r="K137" s="5"/>
      <c r="L137" s="5"/>
      <c r="M137" s="5"/>
      <c r="N137" s="5"/>
      <c r="O137" s="5"/>
      <c r="P137" s="5"/>
      <c r="Q137" s="5"/>
      <c r="R137" s="5"/>
      <c r="S137" s="7"/>
      <c r="T137" s="7"/>
      <c r="U137" s="7"/>
      <c r="V137" s="7"/>
      <c r="W137" s="7"/>
      <c r="X137" s="5"/>
      <c r="Z137" s="6"/>
      <c r="AA137" s="7"/>
    </row>
    <row r="138" spans="1:28" ht="15.75" customHeight="1" x14ac:dyDescent="0.25">
      <c r="A138" s="7"/>
      <c r="G138" s="4"/>
      <c r="H138" s="4"/>
      <c r="I138" s="5"/>
      <c r="J138" s="5"/>
      <c r="K138" s="5"/>
      <c r="L138" s="5"/>
      <c r="M138" s="5"/>
      <c r="N138" s="5"/>
      <c r="O138" s="5"/>
      <c r="P138" s="5"/>
      <c r="Q138" s="5"/>
      <c r="R138" s="8"/>
      <c r="S138" s="7"/>
      <c r="T138" s="5"/>
      <c r="U138" s="5"/>
      <c r="V138" s="5"/>
      <c r="W138" s="7"/>
      <c r="X138" s="5"/>
      <c r="Z138" s="6"/>
      <c r="AA138" s="7"/>
    </row>
    <row r="139" spans="1:28" ht="15.75" customHeight="1" x14ac:dyDescent="0.25">
      <c r="A139" s="7"/>
      <c r="G139" s="4"/>
      <c r="H139" s="4"/>
      <c r="I139" s="5"/>
      <c r="J139" s="5"/>
      <c r="K139" s="5"/>
      <c r="L139" s="5"/>
      <c r="M139" s="5"/>
      <c r="N139" s="5"/>
      <c r="O139" s="5"/>
      <c r="P139" s="5"/>
      <c r="Q139" s="5"/>
      <c r="R139" s="8"/>
      <c r="S139" s="7"/>
      <c r="T139" s="5"/>
      <c r="U139" s="5"/>
      <c r="V139" s="5"/>
      <c r="W139" s="7"/>
      <c r="X139" s="5"/>
      <c r="Z139" s="7"/>
      <c r="AA139" s="7"/>
    </row>
    <row r="140" spans="1:28" ht="15.75" customHeight="1" x14ac:dyDescent="0.25">
      <c r="A140" s="7"/>
      <c r="G140" s="4"/>
      <c r="H140" s="4"/>
      <c r="I140" s="5"/>
      <c r="J140" s="5"/>
      <c r="K140" s="5"/>
      <c r="L140" s="5"/>
      <c r="M140" s="5"/>
      <c r="N140" s="5"/>
      <c r="O140" s="5"/>
      <c r="P140" s="5"/>
      <c r="Q140" s="5"/>
      <c r="R140" s="5"/>
      <c r="S140" s="7"/>
      <c r="T140" s="5"/>
      <c r="U140" s="5"/>
      <c r="V140" s="5"/>
      <c r="W140" s="7"/>
      <c r="X140" s="5"/>
      <c r="Z140" s="6"/>
      <c r="AA140" s="7"/>
    </row>
    <row r="141" spans="1:28" ht="15.75" customHeight="1" x14ac:dyDescent="0.25">
      <c r="A141" s="7"/>
      <c r="G141" s="4"/>
      <c r="H141" s="4"/>
      <c r="I141" s="5"/>
      <c r="J141" s="5"/>
      <c r="K141" s="5"/>
      <c r="L141" s="5"/>
      <c r="M141" s="5"/>
      <c r="N141" s="5"/>
      <c r="O141" s="5"/>
      <c r="P141" s="5"/>
      <c r="Q141" s="5"/>
      <c r="R141" s="5"/>
      <c r="S141" s="7"/>
      <c r="T141" s="5"/>
      <c r="U141" s="5"/>
      <c r="V141" s="5"/>
      <c r="W141" s="7"/>
      <c r="X141" s="5"/>
      <c r="Z141" s="7"/>
      <c r="AA141" s="7"/>
    </row>
    <row r="142" spans="1:28" ht="15.75" customHeight="1" x14ac:dyDescent="0.25">
      <c r="A142" s="7"/>
      <c r="G142" s="4"/>
      <c r="H142" s="4"/>
      <c r="I142" s="5"/>
      <c r="J142" s="5"/>
      <c r="K142" s="5"/>
      <c r="L142" s="5"/>
      <c r="M142" s="5"/>
      <c r="N142" s="5"/>
      <c r="O142" s="5"/>
      <c r="P142" s="20"/>
      <c r="Q142" s="5"/>
      <c r="R142" s="5"/>
      <c r="S142" s="7"/>
      <c r="T142" s="5"/>
      <c r="U142" s="5"/>
      <c r="V142" s="5"/>
      <c r="W142" s="7"/>
      <c r="X142" s="5"/>
      <c r="Z142" s="7"/>
      <c r="AA142" s="7"/>
    </row>
    <row r="143" spans="1:28" ht="15.75" customHeight="1" x14ac:dyDescent="0.25">
      <c r="A143" s="7"/>
      <c r="G143" s="4"/>
      <c r="H143" s="4"/>
      <c r="I143" s="5"/>
      <c r="J143" s="5"/>
      <c r="K143" s="5"/>
      <c r="L143" s="5"/>
      <c r="M143" s="5"/>
      <c r="N143" s="5"/>
      <c r="O143" s="5"/>
      <c r="P143" s="5"/>
      <c r="Q143" s="5"/>
      <c r="R143" s="8"/>
      <c r="S143" s="7"/>
      <c r="T143" s="5"/>
      <c r="U143" s="5"/>
      <c r="V143" s="5"/>
      <c r="W143" s="7"/>
      <c r="X143" s="5"/>
      <c r="Z143" s="6"/>
      <c r="AA143" s="5"/>
      <c r="AB143" s="7"/>
    </row>
    <row r="144" spans="1:28" ht="15.75" customHeight="1" x14ac:dyDescent="0.25">
      <c r="A144" s="7"/>
      <c r="G144" s="4"/>
      <c r="H144" s="4"/>
      <c r="I144" s="5"/>
      <c r="J144" s="5"/>
      <c r="K144" s="5"/>
      <c r="L144" s="5"/>
      <c r="M144" s="5"/>
      <c r="N144" s="5"/>
      <c r="O144" s="5"/>
      <c r="P144" s="5"/>
      <c r="Q144" s="5"/>
      <c r="R144" s="8"/>
      <c r="S144" s="7"/>
      <c r="T144" s="5"/>
      <c r="U144" s="5"/>
      <c r="V144" s="5"/>
      <c r="W144" s="7"/>
      <c r="X144" s="5"/>
      <c r="Z144" s="7"/>
      <c r="AA144" s="5"/>
      <c r="AB144" s="7"/>
    </row>
    <row r="145" spans="1:28" ht="15.75" customHeight="1" x14ac:dyDescent="0.25">
      <c r="A145" s="7"/>
      <c r="G145" s="4"/>
      <c r="H145" s="4"/>
      <c r="I145" s="5"/>
      <c r="J145" s="5"/>
      <c r="K145" s="5"/>
      <c r="L145" s="5"/>
      <c r="M145" s="5"/>
      <c r="N145" s="5"/>
      <c r="O145" s="5"/>
      <c r="P145" s="5"/>
      <c r="Q145" s="5"/>
      <c r="R145" s="8"/>
      <c r="S145" s="7"/>
      <c r="T145" s="5"/>
      <c r="U145" s="5"/>
      <c r="V145" s="5"/>
      <c r="W145" s="7"/>
      <c r="X145" s="5"/>
      <c r="Z145" s="6"/>
      <c r="AA145" s="5"/>
      <c r="AB145" s="7"/>
    </row>
    <row r="146" spans="1:28" ht="15.75" customHeight="1" x14ac:dyDescent="0.25">
      <c r="A146" s="7"/>
      <c r="G146" s="4"/>
      <c r="H146" s="4"/>
      <c r="I146" s="5"/>
      <c r="J146" s="5"/>
      <c r="K146" s="5"/>
      <c r="L146" s="5"/>
      <c r="M146" s="5"/>
      <c r="N146" s="5"/>
      <c r="O146" s="5"/>
      <c r="P146" s="5"/>
      <c r="Q146" s="5"/>
      <c r="R146" s="8"/>
      <c r="S146" s="7"/>
      <c r="T146" s="5"/>
      <c r="U146" s="5"/>
      <c r="V146" s="5"/>
      <c r="W146" s="7"/>
      <c r="X146" s="5"/>
      <c r="Z146" s="6"/>
      <c r="AA146" s="7"/>
      <c r="AB146" s="7"/>
    </row>
    <row r="147" spans="1:28" ht="15.75" customHeight="1" x14ac:dyDescent="0.25">
      <c r="A147" s="7"/>
      <c r="G147" s="4"/>
      <c r="H147" s="4"/>
      <c r="I147" s="5"/>
      <c r="J147" s="5"/>
      <c r="K147" s="5"/>
      <c r="L147" s="5"/>
      <c r="M147" s="5"/>
      <c r="N147" s="5"/>
      <c r="O147" s="5"/>
      <c r="P147" s="5"/>
      <c r="Q147" s="5"/>
      <c r="R147" s="8"/>
      <c r="S147" s="7"/>
      <c r="T147" s="5"/>
      <c r="U147" s="5"/>
      <c r="V147" s="5"/>
      <c r="W147" s="7"/>
      <c r="X147" s="5"/>
      <c r="Z147" s="7"/>
      <c r="AA147" s="7"/>
      <c r="AB147" s="7"/>
    </row>
    <row r="148" spans="1:28" ht="15.75" customHeight="1" x14ac:dyDescent="0.25">
      <c r="A148" s="7"/>
      <c r="G148" s="4"/>
      <c r="H148" s="4"/>
      <c r="I148" s="5"/>
      <c r="J148" s="5"/>
      <c r="K148" s="5"/>
      <c r="L148" s="5"/>
      <c r="M148" s="5"/>
      <c r="N148" s="5"/>
      <c r="O148" s="5"/>
      <c r="P148" s="5"/>
      <c r="Q148" s="5"/>
      <c r="R148" s="8"/>
      <c r="S148" s="7"/>
      <c r="T148" s="5"/>
      <c r="U148" s="5"/>
      <c r="V148" s="5"/>
      <c r="W148" s="7"/>
      <c r="X148" s="5"/>
      <c r="Z148" s="6"/>
      <c r="AA148" s="5"/>
      <c r="AB148" s="7"/>
    </row>
    <row r="149" spans="1:28" ht="15.75" customHeight="1" x14ac:dyDescent="0.25">
      <c r="A149" s="7"/>
      <c r="G149" s="4"/>
      <c r="H149" s="4"/>
      <c r="I149" s="5"/>
      <c r="J149" s="5"/>
      <c r="K149" s="5"/>
      <c r="L149" s="5"/>
      <c r="M149" s="5"/>
      <c r="N149" s="5"/>
      <c r="O149" s="5"/>
      <c r="P149" s="5"/>
      <c r="Q149" s="5"/>
      <c r="R149" s="8"/>
      <c r="S149" s="7"/>
      <c r="T149" s="5"/>
      <c r="U149" s="5"/>
      <c r="V149" s="5"/>
      <c r="W149" s="7"/>
      <c r="X149" s="5"/>
      <c r="Z149" s="6"/>
      <c r="AA149" s="7"/>
    </row>
    <row r="150" spans="1:28" ht="15.75" customHeight="1" x14ac:dyDescent="0.25">
      <c r="A150" s="7"/>
      <c r="G150" s="4"/>
      <c r="H150" s="4"/>
      <c r="I150" s="5"/>
      <c r="J150" s="5"/>
      <c r="K150" s="5"/>
      <c r="L150" s="5"/>
      <c r="M150" s="5"/>
      <c r="N150" s="5"/>
      <c r="O150" s="5"/>
      <c r="P150" s="5"/>
      <c r="Q150" s="5"/>
      <c r="R150" s="8"/>
      <c r="S150" s="7"/>
      <c r="T150" s="5"/>
      <c r="U150" s="5"/>
      <c r="V150" s="5"/>
      <c r="W150" s="7"/>
      <c r="X150" s="5"/>
      <c r="Z150" s="7"/>
      <c r="AA150" s="7"/>
    </row>
    <row r="151" spans="1:28" ht="15.75" customHeight="1" x14ac:dyDescent="0.25">
      <c r="A151" s="7"/>
      <c r="G151" s="4"/>
      <c r="H151" s="4"/>
      <c r="I151" s="5"/>
      <c r="J151" s="5"/>
      <c r="K151" s="5"/>
      <c r="L151" s="5"/>
      <c r="M151" s="5"/>
      <c r="N151" s="5"/>
      <c r="O151" s="5"/>
      <c r="P151" s="5"/>
      <c r="Q151" s="5"/>
      <c r="R151" s="8"/>
      <c r="S151" s="7"/>
      <c r="T151" s="5"/>
      <c r="U151" s="5"/>
      <c r="V151" s="5"/>
      <c r="W151" s="7"/>
      <c r="X151" s="5"/>
      <c r="Z151" s="6"/>
      <c r="AA151" s="7"/>
    </row>
    <row r="152" spans="1:28" ht="15.75" customHeight="1" x14ac:dyDescent="0.25">
      <c r="A152" s="7"/>
      <c r="G152" s="4"/>
      <c r="H152" s="4"/>
      <c r="I152" s="5"/>
      <c r="J152" s="5"/>
      <c r="K152" s="5"/>
      <c r="L152" s="5"/>
      <c r="M152" s="5"/>
      <c r="N152" s="5"/>
      <c r="O152" s="12"/>
      <c r="P152" s="5"/>
      <c r="Q152" s="5"/>
      <c r="R152" s="8"/>
      <c r="S152" s="7"/>
      <c r="T152" s="5"/>
      <c r="U152" s="5"/>
      <c r="V152" s="5"/>
      <c r="W152" s="7"/>
      <c r="X152" s="5"/>
      <c r="Z152" s="7"/>
      <c r="AA152" s="7"/>
    </row>
    <row r="153" spans="1:28" ht="15.75" customHeight="1" x14ac:dyDescent="0.25">
      <c r="A153" s="7"/>
      <c r="G153" s="4"/>
      <c r="H153" s="4"/>
      <c r="I153" s="5"/>
      <c r="J153" s="5"/>
      <c r="K153" s="5"/>
      <c r="L153" s="5"/>
      <c r="M153" s="5"/>
      <c r="N153" s="5"/>
      <c r="O153" s="5"/>
      <c r="P153" s="5"/>
      <c r="Q153" s="5"/>
      <c r="R153" s="8"/>
      <c r="S153" s="7"/>
      <c r="T153" s="5"/>
      <c r="U153" s="5"/>
      <c r="V153" s="5"/>
      <c r="W153" s="7"/>
      <c r="X153" s="5"/>
      <c r="Z153" s="6"/>
      <c r="AA153" s="7"/>
    </row>
    <row r="154" spans="1:28" ht="15.75" customHeight="1" x14ac:dyDescent="0.25">
      <c r="A154" s="7"/>
      <c r="G154" s="4"/>
      <c r="H154" s="4"/>
      <c r="I154" s="5"/>
      <c r="J154" s="5"/>
      <c r="K154" s="5"/>
      <c r="L154" s="5"/>
      <c r="M154" s="5"/>
      <c r="N154" s="5"/>
      <c r="O154" s="5"/>
      <c r="P154" s="5"/>
      <c r="Q154" s="5"/>
      <c r="R154" s="5"/>
      <c r="S154" s="7"/>
      <c r="T154" s="7"/>
      <c r="U154" s="7"/>
      <c r="V154" s="7"/>
      <c r="W154" s="7"/>
      <c r="X154" s="5"/>
      <c r="Z154" s="7"/>
      <c r="AA154" s="7"/>
    </row>
    <row r="155" spans="1:28" ht="15.75" customHeight="1" x14ac:dyDescent="0.25">
      <c r="A155" s="7"/>
      <c r="G155" s="4"/>
      <c r="H155" s="4"/>
      <c r="I155" s="5"/>
      <c r="J155" s="5"/>
      <c r="K155" s="5"/>
      <c r="L155" s="5"/>
      <c r="M155" s="5"/>
      <c r="N155" s="5"/>
      <c r="O155" s="5"/>
      <c r="P155" s="5"/>
      <c r="Q155" s="5"/>
      <c r="R155" s="5"/>
      <c r="S155" s="7"/>
      <c r="T155" s="5"/>
      <c r="U155" s="5"/>
      <c r="V155" s="5"/>
      <c r="W155" s="7"/>
      <c r="X155" s="5"/>
      <c r="Z155" s="6"/>
      <c r="AA155" s="7"/>
    </row>
    <row r="156" spans="1:28" ht="15.75" customHeight="1" x14ac:dyDescent="0.25">
      <c r="A156" s="7"/>
      <c r="G156" s="4"/>
      <c r="H156" s="4"/>
      <c r="I156" s="5"/>
      <c r="J156" s="5"/>
      <c r="K156" s="5"/>
      <c r="L156" s="5"/>
      <c r="M156" s="5"/>
      <c r="N156" s="5"/>
      <c r="O156" s="5"/>
      <c r="P156" s="5"/>
      <c r="Q156" s="5"/>
      <c r="R156" s="5"/>
      <c r="S156" s="7"/>
      <c r="T156" s="5"/>
      <c r="U156" s="5"/>
      <c r="V156" s="5"/>
      <c r="W156" s="7"/>
      <c r="X156" s="5"/>
      <c r="Z156" s="6"/>
      <c r="AA156" s="7"/>
    </row>
    <row r="158" spans="1:28" x14ac:dyDescent="0.25">
      <c r="P158" s="5"/>
    </row>
  </sheetData>
  <mergeCells count="22">
    <mergeCell ref="X54:X55"/>
    <mergeCell ref="X49:X50"/>
    <mergeCell ref="X27:X29"/>
    <mergeCell ref="X34:X36"/>
    <mergeCell ref="X40:X42"/>
    <mergeCell ref="X51:X53"/>
    <mergeCell ref="X23:X24"/>
    <mergeCell ref="X3:X4"/>
    <mergeCell ref="X7:X8"/>
    <mergeCell ref="X11:X12"/>
    <mergeCell ref="X15:X16"/>
    <mergeCell ref="X19:X20"/>
    <mergeCell ref="X5:X6"/>
    <mergeCell ref="X9:X10"/>
    <mergeCell ref="X13:X14"/>
    <mergeCell ref="X17:X18"/>
    <mergeCell ref="X21:X22"/>
    <mergeCell ref="X25:X26"/>
    <mergeCell ref="X30:X33"/>
    <mergeCell ref="X37:X39"/>
    <mergeCell ref="X43:X45"/>
    <mergeCell ref="X47:X48"/>
  </mergeCells>
  <pageMargins left="0.7" right="0.7" top="0.75" bottom="0.75" header="0.3" footer="0.3"/>
  <pageSetup orientation="portrait" r:id="rId1"/>
  <ignoredErrors>
    <ignoredError sqref="V55 V27:V29 V34:V36 V40:V42 V46" formulaRange="1"/>
    <ignoredError sqref="A27" numberStoredAsText="1"/>
    <ignoredError sqref="V54 V7:V8 V49:V50 V24 V12 V15:V16 V20" formula="1" formulaRange="1"/>
    <ignoredError sqref="V4 V5:V6 V48 V9 V19 V11 V23 R10:V10 R24:U24 R21:V22 R20:U20 R17:V18 R15:U16 R13:V14 R12:U12 R23:U23 R11:U11 R19:U19 R9:U9" formula="1"/>
  </ignoredError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abSelected="1" workbookViewId="0">
      <selection activeCell="J21" sqref="J21"/>
    </sheetView>
  </sheetViews>
  <sheetFormatPr baseColWidth="10" defaultRowHeight="15" x14ac:dyDescent="0.25"/>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Resumen_estructural</vt:lpstr>
      <vt:lpstr>Forma de citar</vt:lpstr>
    </vt:vector>
  </TitlesOfParts>
  <Company>CONABIO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Alma</dc:creator>
  <cp:lastModifiedBy>Martina Escamilla</cp:lastModifiedBy>
  <dcterms:created xsi:type="dcterms:W3CDTF">2013-01-14T19:07:59Z</dcterms:created>
  <dcterms:modified xsi:type="dcterms:W3CDTF">2024-04-26T20:02:02Z</dcterms:modified>
</cp:coreProperties>
</file>